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firstSheet="3" activeTab="9"/>
  </bookViews>
  <sheets>
    <sheet name="菜单" sheetId="12" r:id="rId1"/>
    <sheet name="基础信息表" sheetId="7" r:id="rId2"/>
    <sheet name="入库单" sheetId="9" r:id="rId3"/>
    <sheet name="入库明细表" sheetId="6" r:id="rId4"/>
    <sheet name="出库单" sheetId="10" r:id="rId5"/>
    <sheet name="出库明细表" sheetId="8" r:id="rId6"/>
    <sheet name="库存明细" sheetId="4" r:id="rId7"/>
    <sheet name="应收明细表" sheetId="5" r:id="rId8"/>
    <sheet name="应付明细表" sheetId="11" r:id="rId9"/>
    <sheet name="使用说明" sheetId="13" r:id="rId10"/>
  </sheets>
  <definedNames>
    <definedName name="_xlnm._FilterDatabase" localSheetId="6" hidden="1">库存明细!#REF!</definedName>
  </definedNames>
  <calcPr calcId="144525" concurrentCalc="0"/>
</workbook>
</file>

<file path=xl/sharedStrings.xml><?xml version="1.0" encoding="utf-8"?>
<sst xmlns="http://schemas.openxmlformats.org/spreadsheetml/2006/main" count="76">
  <si>
    <t>基础信息表</t>
  </si>
  <si>
    <t>序号</t>
  </si>
  <si>
    <t>型号</t>
  </si>
  <si>
    <t>产品名称</t>
  </si>
  <si>
    <t>期初库存</t>
  </si>
  <si>
    <t>单位</t>
  </si>
  <si>
    <t>入库单价</t>
  </si>
  <si>
    <t>出库单价</t>
  </si>
  <si>
    <t>供应商</t>
  </si>
  <si>
    <t>联系方式</t>
  </si>
  <si>
    <t>客户</t>
  </si>
  <si>
    <t>iPhone 8</t>
  </si>
  <si>
    <t>苹果手机</t>
  </si>
  <si>
    <t>个</t>
  </si>
  <si>
    <t>张三</t>
  </si>
  <si>
    <t>客户1</t>
  </si>
  <si>
    <t>iPhone 7 plus</t>
  </si>
  <si>
    <t>客户2</t>
  </si>
  <si>
    <t xml:space="preserve">iPhone 7 </t>
  </si>
  <si>
    <t>客户3</t>
  </si>
  <si>
    <t>魅蓝6</t>
  </si>
  <si>
    <t>魅族</t>
  </si>
  <si>
    <t>李四</t>
  </si>
  <si>
    <t>客户4</t>
  </si>
  <si>
    <t>魅蓝E</t>
  </si>
  <si>
    <t>客户5</t>
  </si>
  <si>
    <t>nova 2s</t>
  </si>
  <si>
    <t>华为</t>
  </si>
  <si>
    <t>胡一</t>
  </si>
  <si>
    <t>客户6</t>
  </si>
  <si>
    <t>Mate 10</t>
  </si>
  <si>
    <t>客户7</t>
  </si>
  <si>
    <t>P10</t>
  </si>
  <si>
    <t>客户8</t>
  </si>
  <si>
    <t>入  库  单</t>
  </si>
  <si>
    <t>供应商：</t>
  </si>
  <si>
    <t>电话</t>
  </si>
  <si>
    <t>0710690</t>
  </si>
  <si>
    <t>入库日期</t>
  </si>
  <si>
    <t>货号</t>
  </si>
  <si>
    <t>入库数量</t>
  </si>
  <si>
    <t>购物地点</t>
  </si>
  <si>
    <t>金额</t>
  </si>
  <si>
    <t>合计</t>
  </si>
  <si>
    <t>大写金额：</t>
  </si>
  <si>
    <t>¥</t>
  </si>
  <si>
    <t>记账                             保管                         制票</t>
  </si>
  <si>
    <t>入库明细表</t>
  </si>
  <si>
    <t>成本金额</t>
  </si>
  <si>
    <t>实付金额</t>
  </si>
  <si>
    <t>欠款金额</t>
  </si>
  <si>
    <t>出  库  单</t>
  </si>
  <si>
    <t>客户：</t>
  </si>
  <si>
    <t>0678901</t>
  </si>
  <si>
    <t>出入日期</t>
  </si>
  <si>
    <t>出库数量</t>
  </si>
  <si>
    <t>库位</t>
  </si>
  <si>
    <t>出库明细表</t>
  </si>
  <si>
    <t>出库日期</t>
  </si>
  <si>
    <t>毛利润</t>
  </si>
  <si>
    <t>实收金额</t>
  </si>
  <si>
    <t>库存表</t>
  </si>
  <si>
    <t>入库明细</t>
  </si>
  <si>
    <t>出库明细</t>
  </si>
  <si>
    <t>期末库存（库存预警）</t>
  </si>
  <si>
    <t>净利润</t>
  </si>
  <si>
    <t>·</t>
  </si>
  <si>
    <t>应收明细表</t>
  </si>
  <si>
    <t>联系电话</t>
  </si>
  <si>
    <t>应付明细表</t>
  </si>
  <si>
    <t>使用说明</t>
  </si>
  <si>
    <t>1.在基础信息表中输入型号，产品名称，供应商以及客户等信息。</t>
  </si>
  <si>
    <t>2.入库单以及出库单中的信息除了数量，其他都可用下拉选择项或者公式自动计算。</t>
  </si>
  <si>
    <t>3.入库明细表和出库明细表中输入型号，其他“-”都可由公式自动计算。</t>
  </si>
  <si>
    <t>4.库存明细表中输入型号，其他“-”都可由公式自动计算，库存明细表中自带库存预警，当超过设定的安全库存就会是红色字体。</t>
  </si>
  <si>
    <t>5.应收应付明细中下拉选择客户或者供应商，其他“-”可由公式自动计算得出。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</si>
</sst>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#,##0.00_);[Red]\(#,##0.00\)"/>
    <numFmt numFmtId="177" formatCode="[Red][&lt;15]0;General"/>
    <numFmt numFmtId="178" formatCode="[DBNum2][$RMB]General;[Red][DBNum2][$RMB]General"/>
  </numFmts>
  <fonts count="3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b/>
      <sz val="14"/>
      <color theme="0"/>
      <name val="宋体"/>
      <charset val="134"/>
      <scheme val="minor"/>
    </font>
    <font>
      <b/>
      <sz val="22"/>
      <color theme="0"/>
      <name val="宋体"/>
      <charset val="134"/>
      <scheme val="minor"/>
    </font>
    <font>
      <b/>
      <sz val="12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b/>
      <u/>
      <sz val="20"/>
      <name val="宋体"/>
      <charset val="134"/>
    </font>
    <font>
      <sz val="16"/>
      <color rgb="FFFF000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99FF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9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9" borderId="16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8" borderId="15" applyNumberFormat="0" applyAlignment="0" applyProtection="0">
      <alignment vertical="center"/>
    </xf>
    <xf numFmtId="0" fontId="30" fillId="8" borderId="14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3" fontId="0" fillId="4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3" fontId="0" fillId="2" borderId="0" xfId="0" applyNumberFormat="1" applyFont="1" applyFill="1" applyBorder="1" applyAlignment="1">
      <alignment horizontal="center" vertical="center"/>
    </xf>
    <xf numFmtId="43" fontId="0" fillId="0" borderId="0" xfId="0" applyNumberFormat="1">
      <alignment vertical="center"/>
    </xf>
    <xf numFmtId="43" fontId="0" fillId="0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177" fontId="8" fillId="4" borderId="0" xfId="0" applyNumberFormat="1" applyFont="1" applyFill="1" applyBorder="1" applyAlignment="1">
      <alignment horizontal="center" vertical="center"/>
    </xf>
    <xf numFmtId="177" fontId="0" fillId="4" borderId="0" xfId="0" applyNumberFormat="1" applyFont="1" applyFill="1" applyBorder="1" applyAlignment="1">
      <alignment horizontal="center" vertical="center"/>
    </xf>
    <xf numFmtId="14" fontId="0" fillId="0" borderId="0" xfId="0" applyNumberFormat="1" applyFont="1" applyBorder="1" applyAlignment="1">
      <alignment horizontal="center" vertical="center"/>
    </xf>
    <xf numFmtId="14" fontId="0" fillId="2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2" borderId="0" xfId="0" applyNumberFormat="1" applyFont="1" applyFill="1" applyAlignment="1">
      <alignment vertical="center"/>
    </xf>
    <xf numFmtId="0" fontId="10" fillId="2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 vertical="center" wrapText="1"/>
    </xf>
    <xf numFmtId="0" fontId="9" fillId="2" borderId="0" xfId="0" applyNumberFormat="1" applyFont="1" applyFill="1" applyAlignment="1">
      <alignment horizontal="left" vertical="center"/>
    </xf>
    <xf numFmtId="0" fontId="9" fillId="2" borderId="0" xfId="0" applyNumberFormat="1" applyFont="1" applyFill="1" applyAlignment="1">
      <alignment horizontal="center" vertical="center"/>
    </xf>
    <xf numFmtId="0" fontId="11" fillId="2" borderId="0" xfId="0" applyNumberFormat="1" applyFont="1" applyFill="1" applyAlignment="1">
      <alignment vertical="center"/>
    </xf>
    <xf numFmtId="14" fontId="9" fillId="2" borderId="0" xfId="0" applyNumberFormat="1" applyFont="1" applyFill="1" applyAlignment="1">
      <alignment vertical="center"/>
    </xf>
    <xf numFmtId="0" fontId="12" fillId="2" borderId="3" xfId="0" applyNumberFormat="1" applyFont="1" applyFill="1" applyBorder="1" applyAlignment="1">
      <alignment horizontal="center" vertical="center"/>
    </xf>
    <xf numFmtId="0" fontId="12" fillId="2" borderId="4" xfId="0" applyNumberFormat="1" applyFont="1" applyFill="1" applyBorder="1" applyAlignment="1">
      <alignment horizontal="center" vertical="center"/>
    </xf>
    <xf numFmtId="0" fontId="12" fillId="2" borderId="5" xfId="0" applyNumberFormat="1" applyFont="1" applyFill="1" applyBorder="1" applyAlignment="1">
      <alignment horizontal="center" vertical="center"/>
    </xf>
    <xf numFmtId="0" fontId="13" fillId="2" borderId="4" xfId="0" applyNumberFormat="1" applyFont="1" applyFill="1" applyBorder="1" applyAlignment="1">
      <alignment horizontal="center" vertical="center" wrapText="1"/>
    </xf>
    <xf numFmtId="0" fontId="13" fillId="2" borderId="4" xfId="0" applyNumberFormat="1" applyFont="1" applyFill="1" applyBorder="1" applyAlignment="1">
      <alignment vertical="center"/>
    </xf>
    <xf numFmtId="176" fontId="13" fillId="2" borderId="4" xfId="0" applyNumberFormat="1" applyFont="1" applyFill="1" applyBorder="1" applyAlignment="1">
      <alignment vertical="center"/>
    </xf>
    <xf numFmtId="0" fontId="13" fillId="2" borderId="4" xfId="0" applyNumberFormat="1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>
      <alignment vertical="center"/>
    </xf>
    <xf numFmtId="43" fontId="13" fillId="2" borderId="4" xfId="0" applyNumberFormat="1" applyFont="1" applyFill="1" applyBorder="1" applyAlignment="1">
      <alignment vertical="center"/>
    </xf>
    <xf numFmtId="43" fontId="13" fillId="2" borderId="7" xfId="0" applyNumberFormat="1" applyFont="1" applyFill="1" applyBorder="1" applyAlignment="1">
      <alignment horizontal="center" vertical="center"/>
    </xf>
    <xf numFmtId="0" fontId="13" fillId="2" borderId="3" xfId="0" applyNumberFormat="1" applyFont="1" applyFill="1" applyBorder="1" applyAlignment="1">
      <alignment vertical="center"/>
    </xf>
    <xf numFmtId="43" fontId="13" fillId="2" borderId="8" xfId="0" applyNumberFormat="1" applyFont="1" applyFill="1" applyBorder="1" applyAlignment="1">
      <alignment horizontal="center" vertical="center"/>
    </xf>
    <xf numFmtId="0" fontId="12" fillId="2" borderId="4" xfId="0" applyNumberFormat="1" applyFont="1" applyFill="1" applyBorder="1" applyAlignment="1">
      <alignment vertical="center"/>
    </xf>
    <xf numFmtId="178" fontId="13" fillId="2" borderId="9" xfId="0" applyNumberFormat="1" applyFont="1" applyFill="1" applyBorder="1" applyAlignment="1">
      <alignment horizontal="center" vertical="center"/>
    </xf>
    <xf numFmtId="0" fontId="14" fillId="2" borderId="6" xfId="0" applyNumberFormat="1" applyFont="1" applyFill="1" applyBorder="1" applyAlignment="1">
      <alignment horizontal="center" vertical="center"/>
    </xf>
    <xf numFmtId="0" fontId="12" fillId="2" borderId="0" xfId="0" applyNumberFormat="1" applyFont="1" applyFill="1" applyBorder="1" applyAlignment="1">
      <alignment horizontal="left" vertical="center"/>
    </xf>
    <xf numFmtId="0" fontId="9" fillId="5" borderId="0" xfId="0" applyFont="1" applyFill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43" fontId="13" fillId="2" borderId="4" xfId="0" applyNumberFormat="1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11" fillId="2" borderId="0" xfId="0" applyNumberFormat="1" applyFont="1" applyFill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6F5F5"/>
      <color rgb="00EFF6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551180</xdr:colOff>
      <xdr:row>28</xdr:row>
      <xdr:rowOff>123190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8780780" cy="49237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P8" sqref="P8"/>
    </sheetView>
  </sheetViews>
  <sheetFormatPr defaultColWidth="9" defaultRowHeight="13.5"/>
  <sheetData/>
  <pageMargins left="0.75" right="0.75" top="1" bottom="1" header="0.511805555555556" footer="0.511805555555556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tabSelected="1" workbookViewId="0">
      <selection activeCell="A3" sqref="A3:I3"/>
    </sheetView>
  </sheetViews>
  <sheetFormatPr defaultColWidth="9" defaultRowHeight="13.5"/>
  <cols>
    <col min="13" max="13" width="17" customWidth="1"/>
  </cols>
  <sheetData>
    <row r="1" ht="45" customHeight="1" spans="1:13">
      <c r="A1" s="1" t="s">
        <v>70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4" customHeight="1" spans="1:13">
      <c r="A2" s="2" t="s">
        <v>71</v>
      </c>
      <c r="B2" s="2"/>
      <c r="C2" s="2"/>
      <c r="D2" s="2"/>
      <c r="E2" s="2"/>
      <c r="F2" s="2"/>
      <c r="G2" s="2"/>
      <c r="H2" s="2"/>
      <c r="I2" s="2"/>
      <c r="J2" s="5"/>
      <c r="K2" s="5"/>
      <c r="L2" s="5"/>
      <c r="M2" s="5"/>
    </row>
    <row r="3" ht="34" customHeight="1" spans="1:13">
      <c r="A3" s="3" t="s">
        <v>72</v>
      </c>
      <c r="B3" s="3"/>
      <c r="C3" s="3"/>
      <c r="D3" s="3"/>
      <c r="E3" s="3"/>
      <c r="F3" s="3"/>
      <c r="G3" s="3"/>
      <c r="H3" s="3"/>
      <c r="I3" s="3"/>
      <c r="J3" s="5"/>
      <c r="K3" s="5"/>
      <c r="L3" s="5"/>
      <c r="M3" s="5"/>
    </row>
    <row r="4" ht="34" customHeight="1" spans="1:13">
      <c r="A4" s="3" t="s">
        <v>73</v>
      </c>
      <c r="B4" s="3"/>
      <c r="C4" s="3"/>
      <c r="D4" s="3"/>
      <c r="E4" s="3"/>
      <c r="F4" s="3"/>
      <c r="G4" s="3"/>
      <c r="H4" s="3"/>
      <c r="I4" s="3"/>
      <c r="J4" s="3"/>
      <c r="K4" s="5"/>
      <c r="L4" s="5"/>
      <c r="M4" s="5"/>
    </row>
    <row r="5" ht="34" customHeight="1" spans="1:13">
      <c r="A5" s="3" t="s">
        <v>74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ht="34" customHeight="1" spans="1:13">
      <c r="A6" s="3" t="s">
        <v>75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</sheetData>
  <mergeCells count="6">
    <mergeCell ref="A1:M1"/>
    <mergeCell ref="A2:I2"/>
    <mergeCell ref="A3:I3"/>
    <mergeCell ref="A4:J4"/>
    <mergeCell ref="A5:M5"/>
    <mergeCell ref="A6:M6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M14" sqref="M14"/>
    </sheetView>
  </sheetViews>
  <sheetFormatPr defaultColWidth="9" defaultRowHeight="13.5"/>
  <cols>
    <col min="1" max="1" width="7.875" customWidth="1"/>
    <col min="2" max="2" width="15.25" customWidth="1"/>
    <col min="3" max="3" width="10.5" customWidth="1"/>
    <col min="4" max="4" width="11.75" customWidth="1"/>
    <col min="5" max="5" width="9.875" customWidth="1"/>
    <col min="6" max="6" width="10.625" customWidth="1"/>
    <col min="7" max="7" width="12.875" customWidth="1"/>
    <col min="8" max="9" width="11.125" customWidth="1"/>
    <col min="10" max="10" width="9.375"/>
    <col min="11" max="11" width="11.5" customWidth="1"/>
  </cols>
  <sheetData>
    <row r="1" customFormat="1" ht="34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customFormat="1" ht="23" customHeight="1" spans="1:11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9</v>
      </c>
    </row>
    <row r="3" customFormat="1" ht="23" customHeight="1" spans="1:11">
      <c r="A3" s="8">
        <v>1</v>
      </c>
      <c r="B3" s="19" t="s">
        <v>11</v>
      </c>
      <c r="C3" s="19" t="s">
        <v>12</v>
      </c>
      <c r="D3" s="19">
        <v>7</v>
      </c>
      <c r="E3" s="19" t="s">
        <v>13</v>
      </c>
      <c r="F3" s="9">
        <v>6000</v>
      </c>
      <c r="G3" s="9">
        <v>7000</v>
      </c>
      <c r="H3" s="19" t="s">
        <v>14</v>
      </c>
      <c r="I3" s="29">
        <v>14589023</v>
      </c>
      <c r="J3" s="19" t="s">
        <v>15</v>
      </c>
      <c r="K3" s="29">
        <v>1236790</v>
      </c>
    </row>
    <row r="4" customFormat="1" ht="23" customHeight="1" spans="1:11">
      <c r="A4" s="10">
        <v>2</v>
      </c>
      <c r="B4" s="20" t="s">
        <v>16</v>
      </c>
      <c r="C4" s="20" t="s">
        <v>12</v>
      </c>
      <c r="D4" s="20">
        <v>9</v>
      </c>
      <c r="E4" s="20" t="s">
        <v>13</v>
      </c>
      <c r="F4" s="11">
        <v>4000</v>
      </c>
      <c r="G4" s="11">
        <v>5000</v>
      </c>
      <c r="H4" s="20" t="s">
        <v>14</v>
      </c>
      <c r="I4" s="20">
        <v>14589023</v>
      </c>
      <c r="J4" s="20" t="s">
        <v>17</v>
      </c>
      <c r="K4" s="20">
        <v>1789064</v>
      </c>
    </row>
    <row r="5" customFormat="1" ht="23" customHeight="1" spans="1:11">
      <c r="A5" s="8">
        <v>3</v>
      </c>
      <c r="B5" s="19" t="s">
        <v>18</v>
      </c>
      <c r="C5" s="19" t="s">
        <v>12</v>
      </c>
      <c r="D5" s="19">
        <v>10</v>
      </c>
      <c r="E5" s="19" t="s">
        <v>13</v>
      </c>
      <c r="F5" s="9">
        <v>3500</v>
      </c>
      <c r="G5" s="9">
        <v>4000</v>
      </c>
      <c r="H5" s="19" t="s">
        <v>14</v>
      </c>
      <c r="I5" s="29">
        <v>14589023</v>
      </c>
      <c r="J5" s="19" t="s">
        <v>19</v>
      </c>
      <c r="K5" s="29">
        <v>13456789</v>
      </c>
    </row>
    <row r="6" customFormat="1" ht="23" customHeight="1" spans="1:11">
      <c r="A6" s="10">
        <v>4</v>
      </c>
      <c r="B6" s="20" t="s">
        <v>20</v>
      </c>
      <c r="C6" s="20" t="s">
        <v>21</v>
      </c>
      <c r="D6" s="20">
        <v>8</v>
      </c>
      <c r="E6" s="20" t="s">
        <v>13</v>
      </c>
      <c r="F6" s="11">
        <v>2000</v>
      </c>
      <c r="G6" s="11">
        <v>3000</v>
      </c>
      <c r="H6" s="20" t="s">
        <v>22</v>
      </c>
      <c r="I6" s="20">
        <v>14589026</v>
      </c>
      <c r="J6" s="20" t="s">
        <v>23</v>
      </c>
      <c r="K6" s="20">
        <v>14589026</v>
      </c>
    </row>
    <row r="7" customFormat="1" ht="23" customHeight="1" spans="1:11">
      <c r="A7" s="8">
        <v>5</v>
      </c>
      <c r="B7" s="19" t="s">
        <v>24</v>
      </c>
      <c r="C7" s="19" t="s">
        <v>21</v>
      </c>
      <c r="D7" s="19">
        <v>9</v>
      </c>
      <c r="E7" s="19" t="s">
        <v>13</v>
      </c>
      <c r="F7" s="9">
        <v>1500</v>
      </c>
      <c r="G7" s="9">
        <v>2000</v>
      </c>
      <c r="H7" s="19" t="s">
        <v>22</v>
      </c>
      <c r="I7" s="29">
        <v>14589026</v>
      </c>
      <c r="J7" s="19" t="s">
        <v>25</v>
      </c>
      <c r="K7" s="29">
        <v>1475462</v>
      </c>
    </row>
    <row r="8" customFormat="1" ht="23" customHeight="1" spans="1:11">
      <c r="A8" s="10">
        <v>6</v>
      </c>
      <c r="B8" s="20" t="s">
        <v>26</v>
      </c>
      <c r="C8" s="20" t="s">
        <v>27</v>
      </c>
      <c r="D8" s="20">
        <v>10</v>
      </c>
      <c r="E8" s="20" t="s">
        <v>13</v>
      </c>
      <c r="F8" s="11">
        <v>3000</v>
      </c>
      <c r="G8" s="11">
        <v>3500</v>
      </c>
      <c r="H8" s="20" t="s">
        <v>28</v>
      </c>
      <c r="I8" s="20">
        <v>14589028</v>
      </c>
      <c r="J8" s="20" t="s">
        <v>29</v>
      </c>
      <c r="K8" s="20">
        <v>168523</v>
      </c>
    </row>
    <row r="9" customFormat="1" ht="23" customHeight="1" spans="1:11">
      <c r="A9" s="8">
        <v>7</v>
      </c>
      <c r="B9" s="19" t="s">
        <v>30</v>
      </c>
      <c r="C9" s="19" t="s">
        <v>27</v>
      </c>
      <c r="D9" s="19">
        <v>12</v>
      </c>
      <c r="E9" s="19" t="s">
        <v>13</v>
      </c>
      <c r="F9" s="9">
        <v>3500</v>
      </c>
      <c r="G9" s="9">
        <v>4000</v>
      </c>
      <c r="H9" s="19" t="s">
        <v>28</v>
      </c>
      <c r="I9" s="29">
        <v>14589028</v>
      </c>
      <c r="J9" s="19" t="s">
        <v>31</v>
      </c>
      <c r="K9" s="29">
        <v>1895621</v>
      </c>
    </row>
    <row r="10" customFormat="1" ht="23" customHeight="1" spans="1:11">
      <c r="A10" s="10">
        <v>8</v>
      </c>
      <c r="B10" s="20" t="s">
        <v>32</v>
      </c>
      <c r="C10" s="20" t="s">
        <v>27</v>
      </c>
      <c r="D10" s="20">
        <v>15</v>
      </c>
      <c r="E10" s="20" t="s">
        <v>13</v>
      </c>
      <c r="F10" s="11">
        <v>2800</v>
      </c>
      <c r="G10" s="11">
        <v>3500</v>
      </c>
      <c r="H10" s="20" t="s">
        <v>28</v>
      </c>
      <c r="I10" s="20">
        <v>14589028</v>
      </c>
      <c r="J10" s="20" t="s">
        <v>33</v>
      </c>
      <c r="K10" s="20">
        <v>1702546</v>
      </c>
    </row>
    <row r="11" customFormat="1" ht="23" customHeight="1" spans="1:11">
      <c r="A11" s="63">
        <v>9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</row>
    <row r="12" customFormat="1" ht="23" customHeight="1" spans="1:11">
      <c r="A12" s="10">
        <v>10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</row>
    <row r="13" customFormat="1" ht="23" customHeight="1" spans="1:11">
      <c r="A13" s="63">
        <v>11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</row>
    <row r="14" customFormat="1" ht="23" customHeight="1" spans="1:11">
      <c r="A14" s="10">
        <v>12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</row>
    <row r="15" customFormat="1" ht="23" customHeight="1"/>
  </sheetData>
  <mergeCells count="1">
    <mergeCell ref="A1:K1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workbookViewId="0">
      <selection activeCell="C2" sqref="C2:H2"/>
    </sheetView>
  </sheetViews>
  <sheetFormatPr defaultColWidth="9" defaultRowHeight="26.25" customHeight="1"/>
  <cols>
    <col min="1" max="1" width="3.875" style="30" customWidth="1"/>
    <col min="2" max="2" width="9" style="30" customWidth="1"/>
    <col min="3" max="3" width="14.125" style="30" customWidth="1"/>
    <col min="4" max="4" width="10.625" style="30" customWidth="1"/>
    <col min="5" max="5" width="12.375" style="30" customWidth="1"/>
    <col min="6" max="6" width="13.125" style="30" customWidth="1"/>
    <col min="7" max="7" width="9.375" style="30" customWidth="1"/>
    <col min="8" max="8" width="16.5" style="30" customWidth="1"/>
    <col min="9" max="16372" width="9" style="30"/>
  </cols>
  <sheetData>
    <row r="1" s="30" customFormat="1" customHeight="1" spans="1:9">
      <c r="A1" s="31"/>
      <c r="B1" s="31"/>
      <c r="C1" s="31"/>
      <c r="D1" s="31"/>
      <c r="E1" s="31"/>
      <c r="F1" s="31"/>
      <c r="G1" s="31"/>
      <c r="H1" s="31"/>
      <c r="I1" s="31"/>
    </row>
    <row r="2" s="30" customFormat="1" ht="35" customHeight="1" spans="1:9">
      <c r="A2" s="31"/>
      <c r="B2" s="31"/>
      <c r="C2" s="32" t="s">
        <v>34</v>
      </c>
      <c r="D2" s="32"/>
      <c r="E2" s="32"/>
      <c r="F2" s="32"/>
      <c r="G2" s="32"/>
      <c r="H2" s="32"/>
      <c r="I2" s="31"/>
    </row>
    <row r="3" s="30" customFormat="1" ht="21" customHeight="1" spans="1:9">
      <c r="A3" s="31"/>
      <c r="B3" s="33" t="s">
        <v>35</v>
      </c>
      <c r="C3" s="34" t="s">
        <v>14</v>
      </c>
      <c r="D3" s="34" t="s">
        <v>36</v>
      </c>
      <c r="E3" s="34">
        <f>VLOOKUP(C3,基础信息表!$H$3:$K$14,2,0)</f>
        <v>14589023</v>
      </c>
      <c r="F3" s="31"/>
      <c r="G3" s="31"/>
      <c r="H3" s="65" t="s">
        <v>37</v>
      </c>
      <c r="I3" s="31"/>
    </row>
    <row r="4" s="30" customFormat="1" ht="21" customHeight="1" spans="1:9">
      <c r="A4" s="31"/>
      <c r="B4" s="33"/>
      <c r="C4" s="34"/>
      <c r="D4" s="34"/>
      <c r="E4" s="34"/>
      <c r="F4" s="31"/>
      <c r="G4" s="31" t="s">
        <v>38</v>
      </c>
      <c r="H4" s="37">
        <f ca="1">TODAY()</f>
        <v>43136</v>
      </c>
      <c r="I4" s="31"/>
    </row>
    <row r="5" s="30" customFormat="1" ht="12" customHeight="1" spans="1:9">
      <c r="A5" s="31"/>
      <c r="B5" s="38" t="s">
        <v>39</v>
      </c>
      <c r="C5" s="38" t="s">
        <v>2</v>
      </c>
      <c r="D5" s="38" t="s">
        <v>3</v>
      </c>
      <c r="E5" s="38" t="s">
        <v>6</v>
      </c>
      <c r="F5" s="38" t="s">
        <v>40</v>
      </c>
      <c r="G5" s="38" t="s">
        <v>41</v>
      </c>
      <c r="H5" s="39" t="s">
        <v>42</v>
      </c>
      <c r="I5" s="31"/>
    </row>
    <row r="6" s="30" customFormat="1" ht="16" customHeight="1" spans="1:9">
      <c r="A6" s="31"/>
      <c r="B6" s="40"/>
      <c r="C6" s="40"/>
      <c r="D6" s="40"/>
      <c r="E6" s="40"/>
      <c r="F6" s="40"/>
      <c r="G6" s="40"/>
      <c r="H6" s="39"/>
      <c r="I6" s="31"/>
    </row>
    <row r="7" s="30" customFormat="1" ht="26" customHeight="1" spans="1:9">
      <c r="A7" s="31"/>
      <c r="B7" s="41">
        <v>1</v>
      </c>
      <c r="C7" s="42" t="s">
        <v>11</v>
      </c>
      <c r="D7" s="42" t="str">
        <f>VLOOKUP(C7,基础信息表!$B$3:$K$14,2,0)</f>
        <v>苹果手机</v>
      </c>
      <c r="E7" s="62">
        <f>VLOOKUP(C7,基础信息表!$B$3:$K$14,5,0)</f>
        <v>6000</v>
      </c>
      <c r="F7" s="44">
        <v>6</v>
      </c>
      <c r="G7" s="45"/>
      <c r="H7" s="46">
        <f>E7*F7</f>
        <v>36000</v>
      </c>
      <c r="I7" s="31"/>
    </row>
    <row r="8" s="30" customFormat="1" customHeight="1" spans="1:9">
      <c r="A8" s="31"/>
      <c r="B8" s="41">
        <v>2</v>
      </c>
      <c r="C8" s="42" t="s">
        <v>16</v>
      </c>
      <c r="D8" s="42" t="str">
        <f>IFERROR(VLOOKUP(C8,基础信息表!$B$3:$K$14,2,0),"-")</f>
        <v>苹果手机</v>
      </c>
      <c r="E8" s="62">
        <f>IFERROR(VLOOKUP(C8,基础信息表!$B$3:$K$14,5,0),"")</f>
        <v>4000</v>
      </c>
      <c r="F8" s="44">
        <v>7</v>
      </c>
      <c r="G8" s="45"/>
      <c r="H8" s="47">
        <f t="shared" ref="H8:H13" si="0">IFERROR(E8*F8,0)</f>
        <v>28000</v>
      </c>
      <c r="I8" s="31"/>
    </row>
    <row r="9" s="30" customFormat="1" customHeight="1" spans="1:12">
      <c r="A9" s="31"/>
      <c r="B9" s="41">
        <v>3</v>
      </c>
      <c r="C9" s="42"/>
      <c r="D9" s="44" t="str">
        <f>IFERROR(VLOOKUP(C9,基础信息表!$B$3:$K$14,2,0),"-")</f>
        <v>-</v>
      </c>
      <c r="E9" s="62" t="str">
        <f>IFERROR(VLOOKUP(C9,基础信息表!$B$3:$K$14,5,0),"-")</f>
        <v>-</v>
      </c>
      <c r="F9" s="44"/>
      <c r="G9" s="45"/>
      <c r="H9" s="47">
        <f t="shared" si="0"/>
        <v>0</v>
      </c>
      <c r="I9" s="31"/>
      <c r="L9" s="61"/>
    </row>
    <row r="10" s="30" customFormat="1" customHeight="1" spans="1:9">
      <c r="A10" s="31"/>
      <c r="B10" s="41">
        <v>4</v>
      </c>
      <c r="C10" s="42"/>
      <c r="D10" s="44" t="str">
        <f>IFERROR(VLOOKUP(C10,基础信息表!$B$3:$K$14,2,0),"-")</f>
        <v>-</v>
      </c>
      <c r="E10" s="62" t="str">
        <f>IFERROR(VLOOKUP(C10,基础信息表!$B$3:$K$14,5,0),"-")</f>
        <v>-</v>
      </c>
      <c r="F10" s="44"/>
      <c r="G10" s="45"/>
      <c r="H10" s="47">
        <f t="shared" si="0"/>
        <v>0</v>
      </c>
      <c r="I10" s="31"/>
    </row>
    <row r="11" s="30" customFormat="1" customHeight="1" spans="1:9">
      <c r="A11" s="31"/>
      <c r="B11" s="41">
        <v>5</v>
      </c>
      <c r="C11" s="42"/>
      <c r="D11" s="44" t="str">
        <f>IFERROR(VLOOKUP(C11,基础信息表!$B$3:$K$14,2,0),"-")</f>
        <v>-</v>
      </c>
      <c r="E11" s="62" t="str">
        <f>IFERROR(VLOOKUP(C11,基础信息表!$B$3:$K$14,5,0),"-")</f>
        <v>-</v>
      </c>
      <c r="F11" s="44"/>
      <c r="G11" s="45"/>
      <c r="H11" s="47">
        <f t="shared" si="0"/>
        <v>0</v>
      </c>
      <c r="I11" s="31"/>
    </row>
    <row r="12" s="30" customFormat="1" customHeight="1" spans="1:9">
      <c r="A12" s="31"/>
      <c r="B12" s="41">
        <v>6</v>
      </c>
      <c r="C12" s="42"/>
      <c r="D12" s="44" t="str">
        <f>IFERROR(VLOOKUP(C12,基础信息表!$B$3:$K$14,2,0),"-")</f>
        <v>-</v>
      </c>
      <c r="E12" s="62" t="str">
        <f>IFERROR(VLOOKUP(C12,基础信息表!$B$3:$K$14,5,0),"-")</f>
        <v>-</v>
      </c>
      <c r="F12" s="44"/>
      <c r="G12" s="45"/>
      <c r="H12" s="47">
        <f t="shared" si="0"/>
        <v>0</v>
      </c>
      <c r="I12" s="31"/>
    </row>
    <row r="13" s="30" customFormat="1" customHeight="1" spans="1:9">
      <c r="A13" s="31"/>
      <c r="B13" s="41"/>
      <c r="C13" s="42"/>
      <c r="D13" s="44" t="str">
        <f>IFERROR(VLOOKUP(C13,基础信息表!$B$3:$K$14,2,0),"-")</f>
        <v>-</v>
      </c>
      <c r="E13" s="62" t="str">
        <f>IFERROR(VLOOKUP(C13,基础信息表!$B$3:$K$14,5,0),"-")</f>
        <v>-</v>
      </c>
      <c r="F13" s="44"/>
      <c r="G13" s="48"/>
      <c r="H13" s="49">
        <f t="shared" si="0"/>
        <v>0</v>
      </c>
      <c r="I13" s="31"/>
    </row>
    <row r="14" s="30" customFormat="1" customHeight="1" spans="1:9">
      <c r="A14" s="31"/>
      <c r="B14" s="50" t="s">
        <v>43</v>
      </c>
      <c r="C14" s="50" t="s">
        <v>44</v>
      </c>
      <c r="D14" s="51">
        <f>IF(H14=0,"",H14)</f>
        <v>64000</v>
      </c>
      <c r="E14" s="51"/>
      <c r="F14" s="51"/>
      <c r="G14" s="52" t="s">
        <v>45</v>
      </c>
      <c r="H14" s="46">
        <f>SUM(H7:H13)</f>
        <v>64000</v>
      </c>
      <c r="I14" s="31"/>
    </row>
    <row r="15" s="30" customFormat="1" customHeight="1" spans="1:9">
      <c r="A15" s="31"/>
      <c r="B15" s="53" t="s">
        <v>46</v>
      </c>
      <c r="C15" s="53"/>
      <c r="D15" s="53"/>
      <c r="E15" s="53"/>
      <c r="F15" s="53"/>
      <c r="G15" s="53"/>
      <c r="H15" s="53"/>
      <c r="I15" s="31"/>
    </row>
    <row r="16" s="30" customFormat="1" ht="15" customHeight="1" spans="1:8">
      <c r="A16" s="54"/>
      <c r="B16" s="54"/>
      <c r="C16" s="54"/>
      <c r="D16" s="54"/>
      <c r="E16" s="54"/>
      <c r="F16" s="54"/>
      <c r="G16" s="54"/>
      <c r="H16" s="54"/>
    </row>
    <row r="17" s="30" customFormat="1" ht="15" customHeight="1" spans="2:8">
      <c r="B17" s="55"/>
      <c r="C17" s="55"/>
      <c r="D17" s="55"/>
      <c r="E17" s="55"/>
      <c r="F17" s="55"/>
      <c r="G17" s="55"/>
      <c r="H17" s="55"/>
    </row>
    <row r="18" s="30" customFormat="1" customHeight="1" spans="2:8">
      <c r="B18" s="56"/>
      <c r="C18" s="57"/>
      <c r="D18" s="57"/>
      <c r="E18" s="57"/>
      <c r="F18" s="57"/>
      <c r="G18" s="58"/>
      <c r="H18" s="56"/>
    </row>
    <row r="19" s="30" customFormat="1" customHeight="1" spans="2:8">
      <c r="B19" s="56"/>
      <c r="C19" s="57"/>
      <c r="D19" s="57"/>
      <c r="E19" s="57"/>
      <c r="F19" s="57"/>
      <c r="G19" s="58"/>
      <c r="H19" s="59"/>
    </row>
    <row r="20" s="30" customFormat="1" customHeight="1" spans="2:8">
      <c r="B20" s="56"/>
      <c r="C20" s="57"/>
      <c r="D20" s="57"/>
      <c r="E20" s="56"/>
      <c r="F20" s="56"/>
      <c r="G20" s="58"/>
      <c r="H20" s="56"/>
    </row>
    <row r="21" s="30" customFormat="1" customHeight="1" spans="2:8">
      <c r="B21" s="57"/>
      <c r="C21" s="55"/>
      <c r="D21" s="55"/>
      <c r="E21" s="55"/>
      <c r="F21" s="55"/>
      <c r="G21" s="56"/>
      <c r="H21" s="56"/>
    </row>
    <row r="22" s="30" customFormat="1" customHeight="1" spans="2:8">
      <c r="B22" s="57"/>
      <c r="C22" s="55"/>
      <c r="D22" s="55"/>
      <c r="E22" s="55"/>
      <c r="F22" s="55"/>
      <c r="G22" s="56"/>
      <c r="H22" s="56"/>
    </row>
    <row r="23" s="30" customFormat="1" customHeight="1" spans="2:8">
      <c r="B23" s="58"/>
      <c r="C23" s="58"/>
      <c r="D23" s="58"/>
      <c r="E23" s="58"/>
      <c r="F23" s="58"/>
      <c r="G23" s="56"/>
      <c r="H23" s="58"/>
    </row>
    <row r="24" s="30" customFormat="1" customHeight="1" spans="2:8">
      <c r="B24" s="60"/>
      <c r="C24" s="60"/>
      <c r="D24" s="60"/>
      <c r="E24" s="60"/>
      <c r="F24" s="60"/>
      <c r="G24" s="60"/>
      <c r="H24" s="60"/>
    </row>
    <row r="25" s="30" customFormat="1" customHeight="1" spans="2:8">
      <c r="B25" s="60"/>
      <c r="C25" s="60"/>
      <c r="D25" s="60"/>
      <c r="E25" s="60"/>
      <c r="F25" s="60"/>
      <c r="G25" s="60"/>
      <c r="H25" s="60"/>
    </row>
    <row r="26" s="30" customFormat="1" customHeight="1" spans="2:8">
      <c r="B26" s="56"/>
      <c r="C26" s="56"/>
      <c r="D26" s="56"/>
      <c r="E26" s="56"/>
      <c r="F26" s="56"/>
      <c r="G26" s="56"/>
      <c r="H26" s="56"/>
    </row>
    <row r="27" s="30" customFormat="1" customHeight="1" spans="2:8">
      <c r="B27" s="56"/>
      <c r="C27" s="56"/>
      <c r="D27" s="56"/>
      <c r="E27" s="56"/>
      <c r="F27" s="56"/>
      <c r="G27" s="56"/>
      <c r="H27" s="56"/>
    </row>
    <row r="28" s="30" customFormat="1" customHeight="1" spans="2:8">
      <c r="B28" s="56"/>
      <c r="C28" s="56"/>
      <c r="D28" s="56"/>
      <c r="E28" s="56"/>
      <c r="F28" s="56"/>
      <c r="G28" s="56"/>
      <c r="H28" s="56"/>
    </row>
    <row r="29" s="30" customFormat="1" customHeight="1" spans="2:8">
      <c r="B29" s="55"/>
      <c r="C29" s="55"/>
      <c r="D29" s="55"/>
      <c r="E29" s="55"/>
      <c r="F29" s="55"/>
      <c r="G29" s="55"/>
      <c r="H29" s="55"/>
    </row>
    <row r="30" s="30" customFormat="1" customHeight="1" spans="2:8">
      <c r="B30" s="56"/>
      <c r="C30" s="57"/>
      <c r="D30" s="57"/>
      <c r="E30" s="57"/>
      <c r="F30" s="57"/>
      <c r="G30" s="58"/>
      <c r="H30" s="56"/>
    </row>
    <row r="31" s="30" customFormat="1" customHeight="1" spans="2:8">
      <c r="B31" s="56"/>
      <c r="C31" s="57"/>
      <c r="D31" s="57"/>
      <c r="E31" s="57"/>
      <c r="F31" s="57"/>
      <c r="G31" s="58"/>
      <c r="H31" s="59"/>
    </row>
    <row r="32" s="30" customFormat="1" customHeight="1" spans="2:8">
      <c r="B32" s="56"/>
      <c r="C32" s="57"/>
      <c r="D32" s="57"/>
      <c r="E32" s="56"/>
      <c r="F32" s="56"/>
      <c r="G32" s="58"/>
      <c r="H32" s="56"/>
    </row>
    <row r="33" s="30" customFormat="1" customHeight="1" spans="2:8">
      <c r="B33" s="57"/>
      <c r="C33" s="55"/>
      <c r="D33" s="55"/>
      <c r="E33" s="55"/>
      <c r="F33" s="55"/>
      <c r="G33" s="56"/>
      <c r="H33" s="56"/>
    </row>
    <row r="34" s="30" customFormat="1" customHeight="1" spans="2:8">
      <c r="B34" s="57"/>
      <c r="C34" s="55"/>
      <c r="D34" s="55"/>
      <c r="E34" s="55"/>
      <c r="F34" s="55"/>
      <c r="G34" s="56"/>
      <c r="H34" s="56"/>
    </row>
    <row r="35" s="30" customFormat="1" customHeight="1" spans="2:8">
      <c r="B35" s="58"/>
      <c r="C35" s="58"/>
      <c r="D35" s="58"/>
      <c r="E35" s="58"/>
      <c r="F35" s="58"/>
      <c r="G35" s="56"/>
      <c r="H35" s="58"/>
    </row>
  </sheetData>
  <mergeCells count="32">
    <mergeCell ref="C2:H2"/>
    <mergeCell ref="D14:F14"/>
    <mergeCell ref="B15:H15"/>
    <mergeCell ref="B17:H17"/>
    <mergeCell ref="C20:F20"/>
    <mergeCell ref="B26:H26"/>
    <mergeCell ref="B27:H27"/>
    <mergeCell ref="B28:H28"/>
    <mergeCell ref="B29:H29"/>
    <mergeCell ref="C32:F32"/>
    <mergeCell ref="B3:B4"/>
    <mergeCell ref="B5:B6"/>
    <mergeCell ref="B18:B19"/>
    <mergeCell ref="B21:B22"/>
    <mergeCell ref="B30:B31"/>
    <mergeCell ref="B33:B34"/>
    <mergeCell ref="C3:C4"/>
    <mergeCell ref="C5:C6"/>
    <mergeCell ref="D3:D4"/>
    <mergeCell ref="D5:D6"/>
    <mergeCell ref="E3:E4"/>
    <mergeCell ref="E5:E6"/>
    <mergeCell ref="F3:F4"/>
    <mergeCell ref="F5:F6"/>
    <mergeCell ref="G5:G6"/>
    <mergeCell ref="G21:G22"/>
    <mergeCell ref="G33:G34"/>
    <mergeCell ref="H5:H6"/>
    <mergeCell ref="C18:F19"/>
    <mergeCell ref="C21:F22"/>
    <mergeCell ref="C30:F31"/>
    <mergeCell ref="C33:F34"/>
  </mergeCells>
  <dataValidations count="3">
    <dataValidation type="list" allowBlank="1" showInputMessage="1" showErrorMessage="1" sqref="C7">
      <formula1>基础信息表!$B$3:$B$10</formula1>
    </dataValidation>
    <dataValidation type="list" allowBlank="1" showInputMessage="1" showErrorMessage="1" sqref="C8 C9 C10 C11">
      <formula1>基础信息表!$B$3:$B$14</formula1>
    </dataValidation>
    <dataValidation type="list" allowBlank="1" showInputMessage="1" showErrorMessage="1" sqref="C3:C4">
      <formula1>基础信息表!$H$3:$H$10</formula1>
    </dataValidation>
  </dataValidation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workbookViewId="0">
      <selection activeCell="N13" sqref="N13"/>
    </sheetView>
  </sheetViews>
  <sheetFormatPr defaultColWidth="9" defaultRowHeight="13.5"/>
  <cols>
    <col min="1" max="1" width="7.25" customWidth="1"/>
    <col min="2" max="2" width="15.875" customWidth="1"/>
    <col min="3" max="3" width="9.75" customWidth="1"/>
    <col min="4" max="5" width="11.125" customWidth="1"/>
    <col min="6" max="6" width="10.5" customWidth="1"/>
    <col min="7" max="7" width="10.75" customWidth="1"/>
    <col min="8" max="8" width="12.875" customWidth="1"/>
    <col min="9" max="9" width="11.375" customWidth="1"/>
    <col min="10" max="10" width="13.75" customWidth="1"/>
    <col min="11" max="12" width="11.125" customWidth="1"/>
    <col min="13" max="13" width="10.875" customWidth="1"/>
  </cols>
  <sheetData>
    <row r="1" ht="39" customHeight="1" spans="1:12">
      <c r="A1" s="6" t="s">
        <v>47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39" customHeight="1" spans="1:12">
      <c r="A2" s="7" t="s">
        <v>1</v>
      </c>
      <c r="B2" s="7" t="s">
        <v>2</v>
      </c>
      <c r="C2" s="7" t="s">
        <v>3</v>
      </c>
      <c r="D2" s="7" t="s">
        <v>5</v>
      </c>
      <c r="E2" s="7" t="s">
        <v>38</v>
      </c>
      <c r="F2" s="7" t="s">
        <v>40</v>
      </c>
      <c r="G2" s="7" t="s">
        <v>6</v>
      </c>
      <c r="H2" s="7" t="s">
        <v>48</v>
      </c>
      <c r="I2" s="7" t="s">
        <v>49</v>
      </c>
      <c r="J2" s="7" t="s">
        <v>50</v>
      </c>
      <c r="K2" s="7" t="s">
        <v>8</v>
      </c>
      <c r="L2" s="7" t="s">
        <v>9</v>
      </c>
    </row>
    <row r="3" ht="23" customHeight="1" spans="1:12">
      <c r="A3" s="8">
        <v>1</v>
      </c>
      <c r="B3" s="19" t="s">
        <v>11</v>
      </c>
      <c r="C3" s="19" t="str">
        <f>VLOOKUP(B3,基础信息表!$B$3:$K$14,2,0)</f>
        <v>苹果手机</v>
      </c>
      <c r="D3" s="19" t="str">
        <f>VLOOKUP(B3,基础信息表!$B$3:$K$14,4,0)</f>
        <v>个</v>
      </c>
      <c r="E3" s="26">
        <v>42968</v>
      </c>
      <c r="F3" s="19">
        <v>7</v>
      </c>
      <c r="G3" s="9">
        <f>VLOOKUP(B3,基础信息表!$B$3:$K$14,5,0)</f>
        <v>6000</v>
      </c>
      <c r="H3" s="9">
        <f>F3*G3</f>
        <v>42000</v>
      </c>
      <c r="I3" s="9">
        <v>20000</v>
      </c>
      <c r="J3" s="9">
        <f>H3-I3</f>
        <v>22000</v>
      </c>
      <c r="K3" s="19" t="str">
        <f>VLOOKUP(B3,基础信息表!$B$3:$K$14,7,0)</f>
        <v>张三</v>
      </c>
      <c r="L3" s="29">
        <f>VLOOKUP(B3,基础信息表!$B$3:$K$14,8,0)</f>
        <v>14589023</v>
      </c>
    </row>
    <row r="4" ht="23" customHeight="1" spans="1:12">
      <c r="A4" s="10">
        <v>2</v>
      </c>
      <c r="B4" s="20" t="s">
        <v>16</v>
      </c>
      <c r="C4" s="20" t="str">
        <f>VLOOKUP(B4,基础信息表!$B$3:$K$14,2,0)</f>
        <v>苹果手机</v>
      </c>
      <c r="D4" s="20" t="str">
        <f>VLOOKUP(B4,基础信息表!$B$3:$K$14,4,0)</f>
        <v>个</v>
      </c>
      <c r="E4" s="27">
        <v>42973</v>
      </c>
      <c r="F4" s="20">
        <v>9</v>
      </c>
      <c r="G4" s="11">
        <f>VLOOKUP(B4,基础信息表!$B$3:$K$14,5,0)</f>
        <v>4000</v>
      </c>
      <c r="H4" s="11">
        <f>F4*G4</f>
        <v>36000</v>
      </c>
      <c r="I4" s="11">
        <v>20000</v>
      </c>
      <c r="J4" s="11">
        <f t="shared" ref="J4:J10" si="0">H4-I4</f>
        <v>16000</v>
      </c>
      <c r="K4" s="20" t="str">
        <f>VLOOKUP(B4,基础信息表!$B$3:$K$14,7,0)</f>
        <v>张三</v>
      </c>
      <c r="L4" s="20">
        <f>VLOOKUP(B4,基础信息表!$B$3:$K$14,8,0)</f>
        <v>14589023</v>
      </c>
    </row>
    <row r="5" ht="23" customHeight="1" spans="1:12">
      <c r="A5" s="8">
        <v>3</v>
      </c>
      <c r="B5" s="19" t="s">
        <v>18</v>
      </c>
      <c r="C5" s="19" t="str">
        <f>VLOOKUP(B5,基础信息表!$B$3:$K$14,2,0)</f>
        <v>苹果手机</v>
      </c>
      <c r="D5" s="19" t="str">
        <f>VLOOKUP(B5,基础信息表!$B$3:$K$14,4,0)</f>
        <v>个</v>
      </c>
      <c r="E5" s="26">
        <v>42973</v>
      </c>
      <c r="F5" s="19">
        <v>10</v>
      </c>
      <c r="G5" s="9">
        <f>VLOOKUP(B5,基础信息表!$B$3:$K$14,5,0)</f>
        <v>3500</v>
      </c>
      <c r="H5" s="9">
        <f t="shared" ref="H5:H10" si="1">F5*G5</f>
        <v>35000</v>
      </c>
      <c r="I5" s="9">
        <v>15000</v>
      </c>
      <c r="J5" s="9">
        <f t="shared" si="0"/>
        <v>20000</v>
      </c>
      <c r="K5" s="19" t="str">
        <f>VLOOKUP(B5,基础信息表!$B$3:$K$14,7,0)</f>
        <v>张三</v>
      </c>
      <c r="L5" s="29">
        <f>VLOOKUP(B5,基础信息表!$B$3:$K$14,8,0)</f>
        <v>14589023</v>
      </c>
    </row>
    <row r="6" ht="23" customHeight="1" spans="1:12">
      <c r="A6" s="10">
        <v>4</v>
      </c>
      <c r="B6" s="20" t="s">
        <v>20</v>
      </c>
      <c r="C6" s="20" t="str">
        <f>VLOOKUP(B6,基础信息表!$B$3:$K$14,2,0)</f>
        <v>魅族</v>
      </c>
      <c r="D6" s="20" t="str">
        <f>VLOOKUP(B6,基础信息表!$B$3:$K$14,4,0)</f>
        <v>个</v>
      </c>
      <c r="E6" s="27">
        <v>42979</v>
      </c>
      <c r="F6" s="20">
        <v>8</v>
      </c>
      <c r="G6" s="11">
        <f>VLOOKUP(B6,基础信息表!$B$3:$K$14,5,0)</f>
        <v>2000</v>
      </c>
      <c r="H6" s="11">
        <f t="shared" si="1"/>
        <v>16000</v>
      </c>
      <c r="I6" s="11">
        <v>10000</v>
      </c>
      <c r="J6" s="11">
        <f t="shared" si="0"/>
        <v>6000</v>
      </c>
      <c r="K6" s="20" t="str">
        <f>VLOOKUP(B6,基础信息表!$B$3:$K$14,7,0)</f>
        <v>李四</v>
      </c>
      <c r="L6" s="20">
        <f>VLOOKUP(B6,基础信息表!$B$3:$K$14,8,0)</f>
        <v>14589026</v>
      </c>
    </row>
    <row r="7" ht="23" customHeight="1" spans="1:12">
      <c r="A7" s="8">
        <v>5</v>
      </c>
      <c r="B7" s="19" t="s">
        <v>24</v>
      </c>
      <c r="C7" s="19" t="str">
        <f>VLOOKUP(B7,基础信息表!$B$3:$K$14,2,0)</f>
        <v>魅族</v>
      </c>
      <c r="D7" s="19" t="str">
        <f>VLOOKUP(B7,基础信息表!$B$3:$K$14,4,0)</f>
        <v>个</v>
      </c>
      <c r="E7" s="26">
        <v>42982</v>
      </c>
      <c r="F7" s="19">
        <v>9</v>
      </c>
      <c r="G7" s="9">
        <f>VLOOKUP(B7,基础信息表!$B$3:$K$14,5,0)</f>
        <v>1500</v>
      </c>
      <c r="H7" s="9">
        <f t="shared" si="1"/>
        <v>13500</v>
      </c>
      <c r="I7" s="9">
        <v>10000</v>
      </c>
      <c r="J7" s="9">
        <f t="shared" si="0"/>
        <v>3500</v>
      </c>
      <c r="K7" s="19" t="str">
        <f>VLOOKUP(B7,基础信息表!$B$3:$K$14,7,0)</f>
        <v>李四</v>
      </c>
      <c r="L7" s="29">
        <f>VLOOKUP(B7,基础信息表!$B$3:$K$14,8,0)</f>
        <v>14589026</v>
      </c>
    </row>
    <row r="8" ht="23" customHeight="1" spans="1:12">
      <c r="A8" s="10">
        <v>6</v>
      </c>
      <c r="B8" s="20" t="s">
        <v>26</v>
      </c>
      <c r="C8" s="20" t="str">
        <f>VLOOKUP(B8,基础信息表!$B$3:$K$14,2,0)</f>
        <v>华为</v>
      </c>
      <c r="D8" s="20" t="str">
        <f>VLOOKUP(B8,基础信息表!$B$3:$K$14,4,0)</f>
        <v>个</v>
      </c>
      <c r="E8" s="27">
        <v>42983</v>
      </c>
      <c r="F8" s="20">
        <v>10</v>
      </c>
      <c r="G8" s="11">
        <f>VLOOKUP(B8,基础信息表!$B$3:$K$14,5,0)</f>
        <v>3000</v>
      </c>
      <c r="H8" s="11">
        <f t="shared" si="1"/>
        <v>30000</v>
      </c>
      <c r="I8" s="11">
        <v>20000</v>
      </c>
      <c r="J8" s="11">
        <f t="shared" si="0"/>
        <v>10000</v>
      </c>
      <c r="K8" s="20" t="str">
        <f>VLOOKUP(B8,基础信息表!$B$3:$K$14,7,0)</f>
        <v>胡一</v>
      </c>
      <c r="L8" s="20">
        <f>VLOOKUP(B8,基础信息表!$B$3:$K$14,8,0)</f>
        <v>14589028</v>
      </c>
    </row>
    <row r="9" ht="23" customHeight="1" spans="1:12">
      <c r="A9" s="8">
        <v>7</v>
      </c>
      <c r="B9" s="19" t="s">
        <v>30</v>
      </c>
      <c r="C9" s="19" t="str">
        <f>VLOOKUP(B9,基础信息表!$B$3:$K$14,2,0)</f>
        <v>华为</v>
      </c>
      <c r="D9" s="19" t="str">
        <f>VLOOKUP(B9,基础信息表!$B$3:$K$14,4,0)</f>
        <v>个</v>
      </c>
      <c r="E9" s="26">
        <v>42984</v>
      </c>
      <c r="F9" s="19">
        <v>12</v>
      </c>
      <c r="G9" s="9">
        <f>VLOOKUP(B9,基础信息表!$B$3:$K$14,5,0)</f>
        <v>3500</v>
      </c>
      <c r="H9" s="9">
        <f t="shared" si="1"/>
        <v>42000</v>
      </c>
      <c r="I9" s="9">
        <v>20000</v>
      </c>
      <c r="J9" s="9">
        <f t="shared" si="0"/>
        <v>22000</v>
      </c>
      <c r="K9" s="19" t="str">
        <f>VLOOKUP(B9,基础信息表!$B$3:$K$14,7,0)</f>
        <v>胡一</v>
      </c>
      <c r="L9" s="29">
        <f>VLOOKUP(B9,基础信息表!$B$3:$K$14,8,0)</f>
        <v>14589028</v>
      </c>
    </row>
    <row r="10" ht="23" customHeight="1" spans="1:12">
      <c r="A10" s="10">
        <v>8</v>
      </c>
      <c r="B10" s="20" t="s">
        <v>32</v>
      </c>
      <c r="C10" s="20" t="str">
        <f>VLOOKUP(B10,基础信息表!$B$3:$K$14,2,0)</f>
        <v>华为</v>
      </c>
      <c r="D10" s="20" t="str">
        <f>VLOOKUP(B10,基础信息表!$B$3:$K$14,4,0)</f>
        <v>个</v>
      </c>
      <c r="E10" s="27">
        <v>42985</v>
      </c>
      <c r="F10" s="20">
        <v>15</v>
      </c>
      <c r="G10" s="11">
        <f>VLOOKUP(B10,基础信息表!$B$3:$K$14,5,0)</f>
        <v>2800</v>
      </c>
      <c r="H10" s="11">
        <f t="shared" si="1"/>
        <v>42000</v>
      </c>
      <c r="I10" s="11">
        <v>30000</v>
      </c>
      <c r="J10" s="11">
        <f t="shared" si="0"/>
        <v>12000</v>
      </c>
      <c r="K10" s="20" t="str">
        <f>VLOOKUP(B10,基础信息表!$B$3:$K$14,7,0)</f>
        <v>胡一</v>
      </c>
      <c r="L10" s="20">
        <f>VLOOKUP(B10,基础信息表!$B$3:$K$14,8,0)</f>
        <v>14589028</v>
      </c>
    </row>
    <row r="11" ht="23" customHeight="1" spans="1:12">
      <c r="A11" s="8">
        <v>9</v>
      </c>
      <c r="B11" s="19"/>
      <c r="C11" s="19" t="str">
        <f>IFERROR(VLOOKUP(B11,基础信息表!$B$3:$K$14,2,0),"-")</f>
        <v>-</v>
      </c>
      <c r="D11" s="19" t="str">
        <f>IFERROR(VLOOKUP(B11,基础信息表!$B$3:$K$14,4,0),"-")</f>
        <v>-</v>
      </c>
      <c r="E11" s="26"/>
      <c r="F11" s="19"/>
      <c r="G11" s="9" t="str">
        <f>IFERROR(VLOOKUP(B11,基础信息表!$B$3:$K$14,5,0),"-")</f>
        <v>-</v>
      </c>
      <c r="H11" s="9" t="str">
        <f>IFERROR(F11*G11,"-")</f>
        <v>-</v>
      </c>
      <c r="I11" s="9"/>
      <c r="J11" s="9" t="str">
        <f>IFERROR(H11-I11,"-")</f>
        <v>-</v>
      </c>
      <c r="K11" s="19" t="str">
        <f>IFERROR(VLOOKUP(B11,基础信息表!$B$3:$K$14,7,0),"-")</f>
        <v>-</v>
      </c>
      <c r="L11" s="29" t="str">
        <f>IFERROR(VLOOKUP(B11,基础信息表!$B$3:$K$14,8,0),"-")</f>
        <v>-</v>
      </c>
    </row>
    <row r="12" ht="23" customHeight="1" spans="1:12">
      <c r="A12" s="10">
        <v>10</v>
      </c>
      <c r="B12" s="20"/>
      <c r="C12" s="20" t="str">
        <f>IFERROR(VLOOKUP(B12,基础信息表!$B$3:$K$14,2,0),"-")</f>
        <v>-</v>
      </c>
      <c r="D12" s="20" t="str">
        <f>IFERROR(VLOOKUP(B12,基础信息表!$B$3:$K$14,4,0),"-")</f>
        <v>-</v>
      </c>
      <c r="E12" s="27"/>
      <c r="F12" s="20"/>
      <c r="G12" s="11" t="str">
        <f>IFERROR(VLOOKUP(B12,基础信息表!$B$3:$K$14,5,0),"-")</f>
        <v>-</v>
      </c>
      <c r="H12" s="11" t="str">
        <f>IFERROR(F12*G12,"-")</f>
        <v>-</v>
      </c>
      <c r="I12" s="11"/>
      <c r="J12" s="11" t="str">
        <f>IFERROR(H12-I12,"-")</f>
        <v>-</v>
      </c>
      <c r="K12" s="20" t="str">
        <f>IFERROR(VLOOKUP(B12,基础信息表!$B$3:$K$14,7,0),"-")</f>
        <v>-</v>
      </c>
      <c r="L12" s="20" t="str">
        <f>IFERROR(VLOOKUP(B12,基础信息表!$B$3:$K$14,8,0),"-")</f>
        <v>-</v>
      </c>
    </row>
    <row r="13" ht="23" customHeight="1" spans="1:12">
      <c r="A13" s="8">
        <v>11</v>
      </c>
      <c r="B13" s="19"/>
      <c r="C13" s="19" t="str">
        <f>IFERROR(VLOOKUP(B13,基础信息表!$B$3:$K$14,2,0),"-")</f>
        <v>-</v>
      </c>
      <c r="D13" s="19" t="str">
        <f>IFERROR(VLOOKUP(B13,基础信息表!$B$3:$K$14,4,0),"-")</f>
        <v>-</v>
      </c>
      <c r="E13" s="26"/>
      <c r="F13" s="19"/>
      <c r="G13" s="9" t="str">
        <f>IFERROR(VLOOKUP(B13,基础信息表!$B$3:$K$14,5,0),"-")</f>
        <v>-</v>
      </c>
      <c r="H13" s="9" t="str">
        <f t="shared" ref="H13:H18" si="2">IFERROR(F13*G13,"-")</f>
        <v>-</v>
      </c>
      <c r="I13" s="9"/>
      <c r="J13" s="9" t="str">
        <f t="shared" ref="J13:J18" si="3">IFERROR(H13-I13,"-")</f>
        <v>-</v>
      </c>
      <c r="K13" s="19" t="str">
        <f>IFERROR(VLOOKUP(B13,基础信息表!$B$3:$K$14,7,0),"-")</f>
        <v>-</v>
      </c>
      <c r="L13" s="29" t="str">
        <f>IFERROR(VLOOKUP(B13,基础信息表!$B$3:$K$14,8,0),"-")</f>
        <v>-</v>
      </c>
    </row>
    <row r="14" ht="23" customHeight="1" spans="1:12">
      <c r="A14" s="10">
        <v>12</v>
      </c>
      <c r="B14" s="20"/>
      <c r="C14" s="20" t="str">
        <f>IFERROR(VLOOKUP(B14,基础信息表!$B$3:$K$14,2,0),"-")</f>
        <v>-</v>
      </c>
      <c r="D14" s="20" t="str">
        <f>IFERROR(VLOOKUP(B14,基础信息表!$B$3:$K$14,4,0),"-")</f>
        <v>-</v>
      </c>
      <c r="E14" s="27"/>
      <c r="F14" s="20"/>
      <c r="G14" s="11" t="str">
        <f>IFERROR(VLOOKUP(B14,基础信息表!$B$3:$K$14,5,0),"-")</f>
        <v>-</v>
      </c>
      <c r="H14" s="11" t="str">
        <f t="shared" si="2"/>
        <v>-</v>
      </c>
      <c r="I14" s="11"/>
      <c r="J14" s="11" t="str">
        <f t="shared" si="3"/>
        <v>-</v>
      </c>
      <c r="K14" s="20" t="str">
        <f>IFERROR(VLOOKUP(B14,基础信息表!$B$3:$K$14,7,0),"-")</f>
        <v>-</v>
      </c>
      <c r="L14" s="20" t="str">
        <f>IFERROR(VLOOKUP(B14,基础信息表!$B$3:$K$14,8,0),"-")</f>
        <v>-</v>
      </c>
    </row>
    <row r="15" ht="18" customHeight="1" spans="1:12">
      <c r="A15" s="8">
        <v>13</v>
      </c>
      <c r="B15" s="19"/>
      <c r="C15" s="19" t="str">
        <f>IFERROR(VLOOKUP(B15,基础信息表!$B$3:$K$14,2,0),"-")</f>
        <v>-</v>
      </c>
      <c r="D15" s="19" t="str">
        <f>IFERROR(VLOOKUP(B15,基础信息表!$B$3:$K$14,4,0),"-")</f>
        <v>-</v>
      </c>
      <c r="E15" s="26"/>
      <c r="F15" s="19"/>
      <c r="G15" s="9" t="str">
        <f>IFERROR(VLOOKUP(B15,基础信息表!$B$3:$K$14,5,0),"-")</f>
        <v>-</v>
      </c>
      <c r="H15" s="9" t="str">
        <f t="shared" si="2"/>
        <v>-</v>
      </c>
      <c r="I15" s="9"/>
      <c r="J15" s="9" t="str">
        <f t="shared" si="3"/>
        <v>-</v>
      </c>
      <c r="K15" s="19" t="str">
        <f>IFERROR(VLOOKUP(B15,基础信息表!$B$3:$K$14,7,0),"-")</f>
        <v>-</v>
      </c>
      <c r="L15" s="29" t="str">
        <f>IFERROR(VLOOKUP(B15,基础信息表!$B$3:$K$14,8,0),"-")</f>
        <v>-</v>
      </c>
    </row>
    <row r="16" ht="18" customHeight="1" spans="1:12">
      <c r="A16" s="10">
        <v>14</v>
      </c>
      <c r="B16" s="20"/>
      <c r="C16" s="20" t="str">
        <f>IFERROR(VLOOKUP(B16,基础信息表!$B$3:$K$14,2,0),"-")</f>
        <v>-</v>
      </c>
      <c r="D16" s="20" t="str">
        <f>IFERROR(VLOOKUP(B16,基础信息表!$B$3:$K$14,4,0),"-")</f>
        <v>-</v>
      </c>
      <c r="E16" s="27"/>
      <c r="F16" s="20"/>
      <c r="G16" s="11" t="str">
        <f>IFERROR(VLOOKUP(B16,基础信息表!$B$3:$K$14,5,0),"-")</f>
        <v>-</v>
      </c>
      <c r="H16" s="11" t="str">
        <f t="shared" si="2"/>
        <v>-</v>
      </c>
      <c r="I16" s="11"/>
      <c r="J16" s="11" t="str">
        <f t="shared" si="3"/>
        <v>-</v>
      </c>
      <c r="K16" s="20" t="str">
        <f>IFERROR(VLOOKUP(B16,基础信息表!$B$3:$K$14,7,0),"-")</f>
        <v>-</v>
      </c>
      <c r="L16" s="20" t="str">
        <f>IFERROR(VLOOKUP(B16,基础信息表!$B$3:$K$14,8,0),"-")</f>
        <v>-</v>
      </c>
    </row>
    <row r="17" ht="18" customHeight="1" spans="1:12">
      <c r="A17" s="8">
        <v>15</v>
      </c>
      <c r="B17" s="19"/>
      <c r="C17" s="19" t="str">
        <f>IFERROR(VLOOKUP(B17,基础信息表!$B$3:$K$14,2,0),"-")</f>
        <v>-</v>
      </c>
      <c r="D17" s="19" t="str">
        <f>IFERROR(VLOOKUP(B17,基础信息表!$B$3:$K$14,4,0),"-")</f>
        <v>-</v>
      </c>
      <c r="E17" s="26"/>
      <c r="F17" s="19"/>
      <c r="G17" s="9" t="str">
        <f>IFERROR(VLOOKUP(B17,基础信息表!$B$3:$K$14,5,0),"-")</f>
        <v>-</v>
      </c>
      <c r="H17" s="9" t="str">
        <f t="shared" si="2"/>
        <v>-</v>
      </c>
      <c r="I17" s="9"/>
      <c r="J17" s="9" t="str">
        <f t="shared" si="3"/>
        <v>-</v>
      </c>
      <c r="K17" s="19" t="str">
        <f>IFERROR(VLOOKUP(B17,基础信息表!$B$3:$K$14,7,0),"-")</f>
        <v>-</v>
      </c>
      <c r="L17" s="29" t="str">
        <f>IFERROR(VLOOKUP(B17,基础信息表!$B$3:$K$14,8,0),"-")</f>
        <v>-</v>
      </c>
    </row>
    <row r="18" ht="18" customHeight="1" spans="1:12">
      <c r="A18" s="10">
        <v>16</v>
      </c>
      <c r="B18" s="20"/>
      <c r="C18" s="20" t="str">
        <f>IFERROR(VLOOKUP(B18,基础信息表!$B$3:$K$14,2,0),"-")</f>
        <v>-</v>
      </c>
      <c r="D18" s="20" t="str">
        <f>IFERROR(VLOOKUP(B18,基础信息表!$B$3:$K$14,4,0),"-")</f>
        <v>-</v>
      </c>
      <c r="E18" s="27"/>
      <c r="F18" s="20"/>
      <c r="G18" s="11" t="str">
        <f>IFERROR(VLOOKUP(B18,基础信息表!$B$3:$K$14,5,0),"-")</f>
        <v>-</v>
      </c>
      <c r="H18" s="11" t="str">
        <f t="shared" si="2"/>
        <v>-</v>
      </c>
      <c r="I18" s="11"/>
      <c r="J18" s="11" t="str">
        <f t="shared" si="3"/>
        <v>-</v>
      </c>
      <c r="K18" s="20" t="str">
        <f>IFERROR(VLOOKUP(B18,基础信息表!$B$3:$K$14,7,0),"-")</f>
        <v>-</v>
      </c>
      <c r="L18" s="20" t="str">
        <f>IFERROR(VLOOKUP(B18,基础信息表!$B$3:$K$14,8,0),"-")</f>
        <v>-</v>
      </c>
    </row>
    <row r="19" ht="18" customHeight="1"/>
  </sheetData>
  <mergeCells count="1">
    <mergeCell ref="A1:L1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workbookViewId="0">
      <selection activeCell="J12" sqref="J12"/>
    </sheetView>
  </sheetViews>
  <sheetFormatPr defaultColWidth="9" defaultRowHeight="26.25" customHeight="1"/>
  <cols>
    <col min="1" max="1" width="3.875" style="30" customWidth="1"/>
    <col min="2" max="2" width="9" style="30" customWidth="1"/>
    <col min="3" max="3" width="12.125" style="30" customWidth="1"/>
    <col min="4" max="4" width="11.75" style="30" customWidth="1"/>
    <col min="5" max="5" width="12.375" style="30" customWidth="1"/>
    <col min="6" max="6" width="13.125" style="30" customWidth="1"/>
    <col min="7" max="7" width="9.375" style="30" customWidth="1"/>
    <col min="8" max="8" width="16.5" style="30" customWidth="1"/>
    <col min="9" max="16372" width="9" style="30"/>
  </cols>
  <sheetData>
    <row r="1" s="30" customFormat="1" customHeight="1" spans="1:9">
      <c r="A1" s="31"/>
      <c r="B1" s="31"/>
      <c r="C1" s="31"/>
      <c r="D1" s="31"/>
      <c r="E1" s="31"/>
      <c r="F1" s="31"/>
      <c r="G1" s="31"/>
      <c r="H1" s="31"/>
      <c r="I1" s="31"/>
    </row>
    <row r="2" s="30" customFormat="1" ht="35" customHeight="1" spans="1:9">
      <c r="A2" s="31"/>
      <c r="B2" s="31"/>
      <c r="C2" s="32" t="s">
        <v>51</v>
      </c>
      <c r="D2" s="32"/>
      <c r="E2" s="32"/>
      <c r="F2" s="32"/>
      <c r="G2" s="32"/>
      <c r="H2" s="32"/>
      <c r="I2" s="31"/>
    </row>
    <row r="3" s="30" customFormat="1" ht="21" customHeight="1" spans="1:9">
      <c r="A3" s="31"/>
      <c r="B3" s="33" t="s">
        <v>52</v>
      </c>
      <c r="C3" s="34" t="s">
        <v>15</v>
      </c>
      <c r="D3" s="35" t="s">
        <v>36</v>
      </c>
      <c r="E3" s="35">
        <f>VLOOKUP(C3,基础信息表!$J$3:$K$10,2,0)</f>
        <v>1236790</v>
      </c>
      <c r="F3" s="31"/>
      <c r="G3" s="31"/>
      <c r="H3" s="65" t="s">
        <v>53</v>
      </c>
      <c r="I3" s="31"/>
    </row>
    <row r="4" s="30" customFormat="1" ht="21" customHeight="1" spans="1:9">
      <c r="A4" s="31"/>
      <c r="B4" s="33"/>
      <c r="C4" s="34"/>
      <c r="D4" s="35"/>
      <c r="E4" s="35"/>
      <c r="F4" s="31"/>
      <c r="G4" s="31" t="s">
        <v>54</v>
      </c>
      <c r="H4" s="37">
        <f ca="1">TODAY()</f>
        <v>43136</v>
      </c>
      <c r="I4" s="31"/>
    </row>
    <row r="5" s="30" customFormat="1" ht="12" customHeight="1" spans="1:9">
      <c r="A5" s="31"/>
      <c r="B5" s="38" t="s">
        <v>39</v>
      </c>
      <c r="C5" s="38" t="s">
        <v>2</v>
      </c>
      <c r="D5" s="38" t="s">
        <v>3</v>
      </c>
      <c r="E5" s="38" t="s">
        <v>7</v>
      </c>
      <c r="F5" s="38" t="s">
        <v>55</v>
      </c>
      <c r="G5" s="38" t="s">
        <v>56</v>
      </c>
      <c r="H5" s="39" t="s">
        <v>42</v>
      </c>
      <c r="I5" s="31"/>
    </row>
    <row r="6" s="30" customFormat="1" ht="16" customHeight="1" spans="1:9">
      <c r="A6" s="31"/>
      <c r="B6" s="40"/>
      <c r="C6" s="40"/>
      <c r="D6" s="40"/>
      <c r="E6" s="40"/>
      <c r="F6" s="40"/>
      <c r="G6" s="40"/>
      <c r="H6" s="39"/>
      <c r="I6" s="31"/>
    </row>
    <row r="7" s="30" customFormat="1" ht="26" customHeight="1" spans="1:9">
      <c r="A7" s="31"/>
      <c r="B7" s="41">
        <v>1</v>
      </c>
      <c r="C7" s="42" t="s">
        <v>20</v>
      </c>
      <c r="D7" s="42" t="str">
        <f>VLOOKUP(C7,基础信息表!$B$3:$K$14,2,0)</f>
        <v>魅族</v>
      </c>
      <c r="E7" s="43">
        <f>VLOOKUP(C7,基础信息表!$B$3:$K$14,6,0)</f>
        <v>3000</v>
      </c>
      <c r="F7" s="44">
        <v>6</v>
      </c>
      <c r="G7" s="45">
        <v>7</v>
      </c>
      <c r="H7" s="46">
        <f>E7*F7</f>
        <v>18000</v>
      </c>
      <c r="I7" s="31"/>
    </row>
    <row r="8" s="30" customFormat="1" customHeight="1" spans="1:9">
      <c r="A8" s="31"/>
      <c r="B8" s="41">
        <v>2</v>
      </c>
      <c r="C8" s="42" t="s">
        <v>11</v>
      </c>
      <c r="D8" s="42" t="str">
        <f>IFERROR(VLOOKUP(C8,基础信息表!$B$3:$K$14,2,0),"")</f>
        <v>苹果手机</v>
      </c>
      <c r="E8" s="42">
        <f>IFERROR(VLOOKUP(C8,基础信息表!$B$3:$K$14,5,0),"")</f>
        <v>6000</v>
      </c>
      <c r="F8" s="44">
        <v>5</v>
      </c>
      <c r="G8" s="45">
        <v>8</v>
      </c>
      <c r="H8" s="47">
        <f t="shared" ref="H8:H13" si="0">IFERROR(E8*F8,0)</f>
        <v>30000</v>
      </c>
      <c r="I8" s="31"/>
    </row>
    <row r="9" s="30" customFormat="1" customHeight="1" spans="1:12">
      <c r="A9" s="31"/>
      <c r="B9" s="41">
        <v>3</v>
      </c>
      <c r="C9" s="42"/>
      <c r="D9" s="42" t="str">
        <f>IFERROR(VLOOKUP(C9,基础信息表!$B$3:$K$14,2,0),"")</f>
        <v/>
      </c>
      <c r="E9" s="42" t="str">
        <f>IFERROR(VLOOKUP(C9,基础信息表!$B$3:$K$14,5,0),"")</f>
        <v/>
      </c>
      <c r="F9" s="44"/>
      <c r="G9" s="45"/>
      <c r="H9" s="47">
        <f t="shared" si="0"/>
        <v>0</v>
      </c>
      <c r="I9" s="31"/>
      <c r="L9" s="61"/>
    </row>
    <row r="10" s="30" customFormat="1" customHeight="1" spans="1:9">
      <c r="A10" s="31"/>
      <c r="B10" s="41">
        <v>4</v>
      </c>
      <c r="C10" s="42"/>
      <c r="D10" s="42" t="str">
        <f>IFERROR(VLOOKUP(C10,基础信息表!$B$3:$K$14,2,0),"")</f>
        <v/>
      </c>
      <c r="E10" s="42" t="str">
        <f>IFERROR(VLOOKUP(C10,基础信息表!$B$3:$K$14,5,0),"")</f>
        <v/>
      </c>
      <c r="F10" s="44"/>
      <c r="G10" s="45"/>
      <c r="H10" s="47">
        <f t="shared" si="0"/>
        <v>0</v>
      </c>
      <c r="I10" s="31"/>
    </row>
    <row r="11" s="30" customFormat="1" customHeight="1" spans="1:9">
      <c r="A11" s="31"/>
      <c r="B11" s="41">
        <v>5</v>
      </c>
      <c r="C11" s="42"/>
      <c r="D11" s="42" t="str">
        <f>IFERROR(VLOOKUP(C11,基础信息表!$B$3:$K$14,2,0),"")</f>
        <v/>
      </c>
      <c r="E11" s="42" t="str">
        <f>IFERROR(VLOOKUP(C11,基础信息表!$B$3:$K$14,5,0),"")</f>
        <v/>
      </c>
      <c r="F11" s="44"/>
      <c r="G11" s="45"/>
      <c r="H11" s="47">
        <f t="shared" si="0"/>
        <v>0</v>
      </c>
      <c r="I11" s="31"/>
    </row>
    <row r="12" s="30" customFormat="1" customHeight="1" spans="1:9">
      <c r="A12" s="31"/>
      <c r="B12" s="41">
        <v>6</v>
      </c>
      <c r="C12" s="42"/>
      <c r="D12" s="42" t="str">
        <f>IFERROR(VLOOKUP(C12,基础信息表!$B$3:$K$14,2,0),"")</f>
        <v/>
      </c>
      <c r="E12" s="42" t="str">
        <f>IFERROR(VLOOKUP(C12,基础信息表!$B$3:$K$14,5,0),"")</f>
        <v/>
      </c>
      <c r="F12" s="44"/>
      <c r="G12" s="45"/>
      <c r="H12" s="47">
        <f t="shared" si="0"/>
        <v>0</v>
      </c>
      <c r="I12" s="31"/>
    </row>
    <row r="13" s="30" customFormat="1" customHeight="1" spans="1:9">
      <c r="A13" s="31"/>
      <c r="B13" s="41"/>
      <c r="C13" s="42"/>
      <c r="D13" s="42" t="str">
        <f>IFERROR(VLOOKUP(C13,基础信息表!$B$3:$K$14,2,0),"")</f>
        <v/>
      </c>
      <c r="E13" s="42" t="str">
        <f>IFERROR(VLOOKUP(C13,基础信息表!$B$3:$K$14,5,0),"")</f>
        <v/>
      </c>
      <c r="F13" s="44"/>
      <c r="G13" s="48"/>
      <c r="H13" s="49">
        <f t="shared" si="0"/>
        <v>0</v>
      </c>
      <c r="I13" s="31"/>
    </row>
    <row r="14" s="30" customFormat="1" customHeight="1" spans="1:9">
      <c r="A14" s="31"/>
      <c r="B14" s="50" t="s">
        <v>43</v>
      </c>
      <c r="C14" s="50" t="s">
        <v>44</v>
      </c>
      <c r="D14" s="51">
        <f>IF(H14=0,"",H14)</f>
        <v>48000</v>
      </c>
      <c r="E14" s="51"/>
      <c r="F14" s="51"/>
      <c r="G14" s="52" t="s">
        <v>45</v>
      </c>
      <c r="H14" s="46">
        <f>SUM(H7:H13)</f>
        <v>48000</v>
      </c>
      <c r="I14" s="31"/>
    </row>
    <row r="15" s="30" customFormat="1" customHeight="1" spans="1:9">
      <c r="A15" s="31"/>
      <c r="B15" s="53" t="s">
        <v>46</v>
      </c>
      <c r="C15" s="53"/>
      <c r="D15" s="53"/>
      <c r="E15" s="53"/>
      <c r="F15" s="53"/>
      <c r="G15" s="53"/>
      <c r="H15" s="53"/>
      <c r="I15" s="31"/>
    </row>
    <row r="16" s="30" customFormat="1" ht="15" customHeight="1" spans="1:8">
      <c r="A16" s="54"/>
      <c r="B16" s="54"/>
      <c r="C16" s="54"/>
      <c r="D16" s="54"/>
      <c r="E16" s="54"/>
      <c r="F16" s="54"/>
      <c r="G16" s="54"/>
      <c r="H16" s="54"/>
    </row>
    <row r="17" s="30" customFormat="1" ht="15" customHeight="1" spans="2:8">
      <c r="B17" s="55"/>
      <c r="C17" s="55"/>
      <c r="D17" s="55"/>
      <c r="E17" s="55"/>
      <c r="F17" s="55"/>
      <c r="G17" s="55"/>
      <c r="H17" s="55"/>
    </row>
    <row r="18" s="30" customFormat="1" customHeight="1" spans="2:8">
      <c r="B18" s="56"/>
      <c r="C18" s="57"/>
      <c r="D18" s="57"/>
      <c r="E18" s="57"/>
      <c r="F18" s="57"/>
      <c r="G18" s="58"/>
      <c r="H18" s="56"/>
    </row>
    <row r="19" s="30" customFormat="1" customHeight="1" spans="2:8">
      <c r="B19" s="56"/>
      <c r="C19" s="57"/>
      <c r="D19" s="57"/>
      <c r="E19" s="57"/>
      <c r="F19" s="57"/>
      <c r="G19" s="58"/>
      <c r="H19" s="59"/>
    </row>
    <row r="20" s="30" customFormat="1" customHeight="1" spans="2:8">
      <c r="B20" s="56"/>
      <c r="C20" s="57"/>
      <c r="D20" s="57"/>
      <c r="E20" s="56"/>
      <c r="F20" s="56"/>
      <c r="G20" s="58"/>
      <c r="H20" s="56"/>
    </row>
    <row r="21" s="30" customFormat="1" customHeight="1" spans="2:8">
      <c r="B21" s="57"/>
      <c r="C21" s="55"/>
      <c r="D21" s="55"/>
      <c r="E21" s="55"/>
      <c r="F21" s="55"/>
      <c r="G21" s="56"/>
      <c r="H21" s="56"/>
    </row>
    <row r="22" s="30" customFormat="1" customHeight="1" spans="2:8">
      <c r="B22" s="57"/>
      <c r="C22" s="55"/>
      <c r="D22" s="55"/>
      <c r="E22" s="55"/>
      <c r="F22" s="55"/>
      <c r="G22" s="56"/>
      <c r="H22" s="56"/>
    </row>
    <row r="23" s="30" customFormat="1" customHeight="1" spans="2:8">
      <c r="B23" s="58"/>
      <c r="C23" s="58"/>
      <c r="D23" s="58"/>
      <c r="E23" s="58"/>
      <c r="F23" s="58"/>
      <c r="G23" s="56"/>
      <c r="H23" s="58"/>
    </row>
    <row r="24" s="30" customFormat="1" customHeight="1" spans="2:8">
      <c r="B24" s="60"/>
      <c r="C24" s="60"/>
      <c r="D24" s="60"/>
      <c r="E24" s="60"/>
      <c r="F24" s="60"/>
      <c r="G24" s="60"/>
      <c r="H24" s="60"/>
    </row>
    <row r="25" s="30" customFormat="1" customHeight="1" spans="2:8">
      <c r="B25" s="60"/>
      <c r="C25" s="60"/>
      <c r="D25" s="60"/>
      <c r="E25" s="60"/>
      <c r="F25" s="60"/>
      <c r="G25" s="60"/>
      <c r="H25" s="60"/>
    </row>
    <row r="26" s="30" customFormat="1" customHeight="1" spans="2:8">
      <c r="B26" s="56"/>
      <c r="C26" s="56"/>
      <c r="D26" s="56"/>
      <c r="E26" s="56"/>
      <c r="F26" s="56"/>
      <c r="G26" s="56"/>
      <c r="H26" s="56"/>
    </row>
    <row r="27" s="30" customFormat="1" customHeight="1" spans="2:8">
      <c r="B27" s="56"/>
      <c r="C27" s="56"/>
      <c r="D27" s="56"/>
      <c r="E27" s="56"/>
      <c r="F27" s="56"/>
      <c r="G27" s="56"/>
      <c r="H27" s="56"/>
    </row>
    <row r="28" s="30" customFormat="1" customHeight="1" spans="2:8">
      <c r="B28" s="56"/>
      <c r="C28" s="56"/>
      <c r="D28" s="56"/>
      <c r="E28" s="56"/>
      <c r="F28" s="56"/>
      <c r="G28" s="56"/>
      <c r="H28" s="56"/>
    </row>
    <row r="29" s="30" customFormat="1" customHeight="1" spans="2:8">
      <c r="B29" s="55"/>
      <c r="C29" s="55"/>
      <c r="D29" s="55"/>
      <c r="E29" s="55"/>
      <c r="F29" s="55"/>
      <c r="G29" s="55"/>
      <c r="H29" s="55"/>
    </row>
    <row r="30" s="30" customFormat="1" customHeight="1" spans="2:8">
      <c r="B30" s="56"/>
      <c r="C30" s="57"/>
      <c r="D30" s="57"/>
      <c r="E30" s="57"/>
      <c r="F30" s="57"/>
      <c r="G30" s="58"/>
      <c r="H30" s="56"/>
    </row>
    <row r="31" s="30" customFormat="1" customHeight="1" spans="2:8">
      <c r="B31" s="56"/>
      <c r="C31" s="57"/>
      <c r="D31" s="57"/>
      <c r="E31" s="57"/>
      <c r="F31" s="57"/>
      <c r="G31" s="58"/>
      <c r="H31" s="59"/>
    </row>
    <row r="32" s="30" customFormat="1" customHeight="1" spans="2:8">
      <c r="B32" s="56"/>
      <c r="C32" s="57"/>
      <c r="D32" s="57"/>
      <c r="E32" s="56"/>
      <c r="F32" s="56"/>
      <c r="G32" s="58"/>
      <c r="H32" s="56"/>
    </row>
    <row r="33" s="30" customFormat="1" customHeight="1" spans="2:8">
      <c r="B33" s="57"/>
      <c r="C33" s="55"/>
      <c r="D33" s="55"/>
      <c r="E33" s="55"/>
      <c r="F33" s="55"/>
      <c r="G33" s="56"/>
      <c r="H33" s="56"/>
    </row>
    <row r="34" s="30" customFormat="1" customHeight="1" spans="2:8">
      <c r="B34" s="57"/>
      <c r="C34" s="55"/>
      <c r="D34" s="55"/>
      <c r="E34" s="55"/>
      <c r="F34" s="55"/>
      <c r="G34" s="56"/>
      <c r="H34" s="56"/>
    </row>
    <row r="35" s="30" customFormat="1" customHeight="1" spans="2:8">
      <c r="B35" s="58"/>
      <c r="C35" s="58"/>
      <c r="D35" s="58"/>
      <c r="E35" s="58"/>
      <c r="F35" s="58"/>
      <c r="G35" s="56"/>
      <c r="H35" s="58"/>
    </row>
  </sheetData>
  <mergeCells count="32">
    <mergeCell ref="C2:H2"/>
    <mergeCell ref="D14:F14"/>
    <mergeCell ref="B15:H15"/>
    <mergeCell ref="B17:H17"/>
    <mergeCell ref="C20:F20"/>
    <mergeCell ref="B26:H26"/>
    <mergeCell ref="B27:H27"/>
    <mergeCell ref="B28:H28"/>
    <mergeCell ref="B29:H29"/>
    <mergeCell ref="C32:F32"/>
    <mergeCell ref="B3:B4"/>
    <mergeCell ref="B5:B6"/>
    <mergeCell ref="B18:B19"/>
    <mergeCell ref="B21:B22"/>
    <mergeCell ref="B30:B31"/>
    <mergeCell ref="B33:B34"/>
    <mergeCell ref="C3:C4"/>
    <mergeCell ref="C5:C6"/>
    <mergeCell ref="D3:D4"/>
    <mergeCell ref="D5:D6"/>
    <mergeCell ref="E3:E4"/>
    <mergeCell ref="E5:E6"/>
    <mergeCell ref="F3:F4"/>
    <mergeCell ref="F5:F6"/>
    <mergeCell ref="G5:G6"/>
    <mergeCell ref="G21:G22"/>
    <mergeCell ref="G33:G34"/>
    <mergeCell ref="H5:H6"/>
    <mergeCell ref="C18:F19"/>
    <mergeCell ref="C21:F22"/>
    <mergeCell ref="C30:F31"/>
    <mergeCell ref="C33:F34"/>
  </mergeCells>
  <dataValidations count="3">
    <dataValidation type="list" allowBlank="1" showInputMessage="1" showErrorMessage="1" sqref="C7 C8">
      <formula1>基础信息表!$B$3:$B$10</formula1>
    </dataValidation>
    <dataValidation type="list" allowBlank="1" showInputMessage="1" showErrorMessage="1" sqref="C9 C10">
      <formula1>基础信息表!$B$3:$B$14</formula1>
    </dataValidation>
    <dataValidation type="list" allowBlank="1" showInputMessage="1" showErrorMessage="1" sqref="C3:C4">
      <formula1>基础信息表!$J$3:$J$10</formula1>
    </dataValidation>
  </dataValidations>
  <pageMargins left="0.75" right="0.75" top="1" bottom="1" header="0.511805555555556" footer="0.511805555555556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workbookViewId="0">
      <selection activeCell="M15" sqref="M15"/>
    </sheetView>
  </sheetViews>
  <sheetFormatPr defaultColWidth="9" defaultRowHeight="13.5"/>
  <cols>
    <col min="1" max="1" width="8.75" customWidth="1"/>
    <col min="2" max="2" width="13.75" customWidth="1"/>
    <col min="3" max="3" width="9.75" customWidth="1"/>
    <col min="4" max="4" width="9.25" customWidth="1"/>
    <col min="5" max="5" width="11.125" customWidth="1"/>
    <col min="6" max="6" width="10.5" customWidth="1"/>
    <col min="7" max="8" width="12.875" customWidth="1"/>
    <col min="9" max="9" width="11.625" customWidth="1"/>
    <col min="10" max="10" width="13.75" customWidth="1"/>
    <col min="11" max="11" width="10.25" customWidth="1"/>
    <col min="12" max="13" width="10.875" customWidth="1"/>
  </cols>
  <sheetData>
    <row r="1" customFormat="1" ht="34" customHeight="1" spans="1:12">
      <c r="A1" s="6" t="s">
        <v>57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Format="1" ht="38" customHeight="1" spans="1:12">
      <c r="A2" s="7" t="s">
        <v>1</v>
      </c>
      <c r="B2" s="7" t="s">
        <v>2</v>
      </c>
      <c r="C2" s="7" t="s">
        <v>3</v>
      </c>
      <c r="D2" s="7" t="s">
        <v>5</v>
      </c>
      <c r="E2" s="7" t="s">
        <v>58</v>
      </c>
      <c r="F2" s="7" t="s">
        <v>55</v>
      </c>
      <c r="G2" s="7" t="s">
        <v>6</v>
      </c>
      <c r="H2" s="7" t="s">
        <v>59</v>
      </c>
      <c r="I2" s="7" t="s">
        <v>60</v>
      </c>
      <c r="J2" s="7" t="s">
        <v>50</v>
      </c>
      <c r="K2" s="7" t="s">
        <v>10</v>
      </c>
      <c r="L2" s="7" t="s">
        <v>9</v>
      </c>
    </row>
    <row r="3" customFormat="1" ht="23" customHeight="1" spans="1:12">
      <c r="A3" s="8">
        <v>1</v>
      </c>
      <c r="B3" s="19" t="s">
        <v>11</v>
      </c>
      <c r="C3" s="19" t="str">
        <f>VLOOKUP(B3,基础信息表!$B$3:$K$14,2,0)</f>
        <v>苹果手机</v>
      </c>
      <c r="D3" s="19" t="str">
        <f>VLOOKUP(B3,基础信息表!$B$3:$K$14,4,0)</f>
        <v>个</v>
      </c>
      <c r="E3" s="26">
        <v>42999</v>
      </c>
      <c r="F3" s="19">
        <v>5</v>
      </c>
      <c r="G3" s="9">
        <f>VLOOKUP(B3,基础信息表!$B$3:$K$14,6,0)</f>
        <v>7000</v>
      </c>
      <c r="H3" s="9">
        <f t="shared" ref="H3:H10" si="0">F3*G3</f>
        <v>35000</v>
      </c>
      <c r="I3" s="9">
        <v>20000</v>
      </c>
      <c r="J3" s="9">
        <f>H3-I3</f>
        <v>15000</v>
      </c>
      <c r="K3" s="19" t="str">
        <f>VLOOKUP(B3,基础信息表!$B$3:$K$14,9,0)</f>
        <v>客户1</v>
      </c>
      <c r="L3" s="29">
        <f>VLOOKUP(B3,基础信息表!$B$3:$K$14,10,0)</f>
        <v>1236790</v>
      </c>
    </row>
    <row r="4" customFormat="1" ht="23" customHeight="1" spans="1:12">
      <c r="A4" s="10">
        <v>2</v>
      </c>
      <c r="B4" s="20" t="s">
        <v>16</v>
      </c>
      <c r="C4" s="20" t="str">
        <f>VLOOKUP(B4,基础信息表!$B$3:$K$14,2,0)</f>
        <v>苹果手机</v>
      </c>
      <c r="D4" s="20" t="str">
        <f>VLOOKUP(B4,基础信息表!$B$3:$K$14,4,0)</f>
        <v>个</v>
      </c>
      <c r="E4" s="27">
        <v>43034</v>
      </c>
      <c r="F4" s="20">
        <v>7</v>
      </c>
      <c r="G4" s="11">
        <f>VLOOKUP(B4,基础信息表!$B$3:$K$14,5,0)</f>
        <v>4000</v>
      </c>
      <c r="H4" s="11">
        <f t="shared" si="0"/>
        <v>28000</v>
      </c>
      <c r="I4" s="11">
        <v>20000</v>
      </c>
      <c r="J4" s="11">
        <f t="shared" ref="J3:J10" si="1">H4-I4</f>
        <v>8000</v>
      </c>
      <c r="K4" s="20" t="str">
        <f>VLOOKUP(B4,基础信息表!$B$3:$K$14,9,0)</f>
        <v>客户2</v>
      </c>
      <c r="L4" s="20">
        <f>VLOOKUP(B4,基础信息表!$B$3:$K$14,10,0)</f>
        <v>1789064</v>
      </c>
    </row>
    <row r="5" customFormat="1" ht="23" customHeight="1" spans="1:12">
      <c r="A5" s="8">
        <v>3</v>
      </c>
      <c r="B5" s="19" t="s">
        <v>18</v>
      </c>
      <c r="C5" s="19" t="str">
        <f>VLOOKUP(B5,基础信息表!$B$3:$K$14,2,0)</f>
        <v>苹果手机</v>
      </c>
      <c r="D5" s="19" t="str">
        <f>VLOOKUP(B5,基础信息表!$B$3:$K$14,4,0)</f>
        <v>个</v>
      </c>
      <c r="E5" s="26">
        <v>43004</v>
      </c>
      <c r="F5" s="19">
        <v>7</v>
      </c>
      <c r="G5" s="9">
        <f>VLOOKUP(B5,基础信息表!$B$3:$K$14,5,0)</f>
        <v>3500</v>
      </c>
      <c r="H5" s="9">
        <f t="shared" si="0"/>
        <v>24500</v>
      </c>
      <c r="I5" s="9">
        <v>15000</v>
      </c>
      <c r="J5" s="9">
        <f t="shared" si="1"/>
        <v>9500</v>
      </c>
      <c r="K5" s="19" t="str">
        <f>VLOOKUP(B5,基础信息表!$B$3:$K$14,9,0)</f>
        <v>客户3</v>
      </c>
      <c r="L5" s="29">
        <f>VLOOKUP(B5,基础信息表!$B$3:$K$14,10,0)</f>
        <v>13456789</v>
      </c>
    </row>
    <row r="6" customFormat="1" ht="23" customHeight="1" spans="1:12">
      <c r="A6" s="10">
        <v>4</v>
      </c>
      <c r="B6" s="20" t="s">
        <v>20</v>
      </c>
      <c r="C6" s="20" t="str">
        <f>VLOOKUP(B6,基础信息表!$B$3:$K$14,2,0)</f>
        <v>魅族</v>
      </c>
      <c r="D6" s="20" t="str">
        <f>VLOOKUP(B6,基础信息表!$B$3:$K$14,4,0)</f>
        <v>个</v>
      </c>
      <c r="E6" s="27">
        <v>43009</v>
      </c>
      <c r="F6" s="20">
        <v>4</v>
      </c>
      <c r="G6" s="11">
        <f>VLOOKUP(B6,基础信息表!$B$3:$K$14,5,0)</f>
        <v>2000</v>
      </c>
      <c r="H6" s="11">
        <f t="shared" si="0"/>
        <v>8000</v>
      </c>
      <c r="I6" s="11">
        <v>4000</v>
      </c>
      <c r="J6" s="11">
        <f t="shared" si="1"/>
        <v>4000</v>
      </c>
      <c r="K6" s="20" t="str">
        <f>VLOOKUP(B6,基础信息表!$B$3:$K$14,9,0)</f>
        <v>客户4</v>
      </c>
      <c r="L6" s="20">
        <f>VLOOKUP(B6,基础信息表!$B$3:$K$14,10,0)</f>
        <v>14589026</v>
      </c>
    </row>
    <row r="7" customFormat="1" ht="23" customHeight="1" spans="1:12">
      <c r="A7" s="8">
        <v>5</v>
      </c>
      <c r="B7" s="19" t="s">
        <v>24</v>
      </c>
      <c r="C7" s="19" t="str">
        <f>VLOOKUP(B7,基础信息表!$B$3:$K$14,2,0)</f>
        <v>魅族</v>
      </c>
      <c r="D7" s="19" t="str">
        <f>VLOOKUP(B7,基础信息表!$B$3:$K$14,4,0)</f>
        <v>个</v>
      </c>
      <c r="E7" s="26">
        <v>43043</v>
      </c>
      <c r="F7" s="19">
        <v>5</v>
      </c>
      <c r="G7" s="9">
        <f>VLOOKUP(B7,基础信息表!$B$3:$K$14,5,0)</f>
        <v>1500</v>
      </c>
      <c r="H7" s="9">
        <f t="shared" si="0"/>
        <v>7500</v>
      </c>
      <c r="I7" s="9">
        <v>5000</v>
      </c>
      <c r="J7" s="9">
        <f t="shared" si="1"/>
        <v>2500</v>
      </c>
      <c r="K7" s="19" t="str">
        <f>VLOOKUP(B7,基础信息表!$B$3:$K$14,9,0)</f>
        <v>客户5</v>
      </c>
      <c r="L7" s="29">
        <f>VLOOKUP(B7,基础信息表!$B$3:$K$14,10,0)</f>
        <v>1475462</v>
      </c>
    </row>
    <row r="8" customFormat="1" ht="23" customHeight="1" spans="1:12">
      <c r="A8" s="10">
        <v>6</v>
      </c>
      <c r="B8" s="20" t="s">
        <v>26</v>
      </c>
      <c r="C8" s="20" t="str">
        <f>VLOOKUP(B8,基础信息表!$B$3:$K$14,2,0)</f>
        <v>华为</v>
      </c>
      <c r="D8" s="20" t="str">
        <f>VLOOKUP(B8,基础信息表!$B$3:$K$14,4,0)</f>
        <v>个</v>
      </c>
      <c r="E8" s="27">
        <v>43013</v>
      </c>
      <c r="F8" s="20">
        <v>5</v>
      </c>
      <c r="G8" s="11">
        <f>VLOOKUP(B8,基础信息表!$B$3:$K$14,5,0)</f>
        <v>3000</v>
      </c>
      <c r="H8" s="11">
        <f t="shared" si="0"/>
        <v>15000</v>
      </c>
      <c r="I8" s="11">
        <v>10000</v>
      </c>
      <c r="J8" s="11">
        <f t="shared" si="1"/>
        <v>5000</v>
      </c>
      <c r="K8" s="20" t="str">
        <f>VLOOKUP(B8,基础信息表!$B$3:$K$14,9,0)</f>
        <v>客户6</v>
      </c>
      <c r="L8" s="20">
        <f>VLOOKUP(B8,基础信息表!$B$3:$K$14,10,0)</f>
        <v>168523</v>
      </c>
    </row>
    <row r="9" customFormat="1" ht="23" customHeight="1" spans="1:12">
      <c r="A9" s="8">
        <v>7</v>
      </c>
      <c r="B9" s="19" t="s">
        <v>30</v>
      </c>
      <c r="C9" s="19" t="str">
        <f>VLOOKUP(B9,基础信息表!$B$3:$K$14,2,0)</f>
        <v>华为</v>
      </c>
      <c r="D9" s="19" t="str">
        <f>VLOOKUP(B9,基础信息表!$B$3:$K$14,4,0)</f>
        <v>个</v>
      </c>
      <c r="E9" s="26">
        <v>43014</v>
      </c>
      <c r="F9" s="19">
        <v>6</v>
      </c>
      <c r="G9" s="9">
        <f>VLOOKUP(B9,基础信息表!$B$3:$K$14,5,0)</f>
        <v>3500</v>
      </c>
      <c r="H9" s="9">
        <f t="shared" si="0"/>
        <v>21000</v>
      </c>
      <c r="I9" s="9">
        <v>20000</v>
      </c>
      <c r="J9" s="9">
        <f t="shared" si="1"/>
        <v>1000</v>
      </c>
      <c r="K9" s="19" t="str">
        <f>VLOOKUP(B9,基础信息表!$B$3:$K$14,9,0)</f>
        <v>客户7</v>
      </c>
      <c r="L9" s="29">
        <f>VLOOKUP(B9,基础信息表!$B$3:$K$14,10,0)</f>
        <v>1895621</v>
      </c>
    </row>
    <row r="10" customFormat="1" ht="23" customHeight="1" spans="1:12">
      <c r="A10" s="10">
        <v>8</v>
      </c>
      <c r="B10" s="20" t="s">
        <v>32</v>
      </c>
      <c r="C10" s="20" t="str">
        <f>VLOOKUP(B10,基础信息表!$B$3:$K$14,2,0)</f>
        <v>华为</v>
      </c>
      <c r="D10" s="20" t="str">
        <f>VLOOKUP(B10,基础信息表!$B$3:$K$14,4,0)</f>
        <v>个</v>
      </c>
      <c r="E10" s="27">
        <v>43015</v>
      </c>
      <c r="F10" s="20">
        <v>10</v>
      </c>
      <c r="G10" s="11">
        <f>VLOOKUP(B10,基础信息表!$B$3:$K$14,5,0)</f>
        <v>2800</v>
      </c>
      <c r="H10" s="11">
        <f t="shared" si="0"/>
        <v>28000</v>
      </c>
      <c r="I10" s="11">
        <v>20000</v>
      </c>
      <c r="J10" s="11">
        <f t="shared" si="1"/>
        <v>8000</v>
      </c>
      <c r="K10" s="20" t="str">
        <f>VLOOKUP(B10,基础信息表!$B$3:$K$14,9,0)</f>
        <v>客户8</v>
      </c>
      <c r="L10" s="20">
        <f>VLOOKUP(B10,基础信息表!$B$3:$K$14,10,0)</f>
        <v>1702546</v>
      </c>
    </row>
    <row r="11" customFormat="1" ht="23" customHeight="1" spans="1:12">
      <c r="A11" s="8">
        <v>9</v>
      </c>
      <c r="B11" s="19"/>
      <c r="C11" s="19" t="str">
        <f>IFERROR(VLOOKUP(B11,基础信息表!$B$3:$K$14,2,0),"-")</f>
        <v>-</v>
      </c>
      <c r="D11" s="19" t="str">
        <f>IFERROR(VLOOKUP(B11,基础信息表!$B$3:$K$14,4,0),"-")</f>
        <v>-</v>
      </c>
      <c r="E11" s="26"/>
      <c r="F11" s="19"/>
      <c r="G11" s="9" t="str">
        <f>IFERROR(VLOOKUP(B11,基础信息表!$B$3:$K$14,5,0),"-")</f>
        <v>-</v>
      </c>
      <c r="H11" s="9" t="str">
        <f>IFERROR(F11*G11,"-")</f>
        <v>-</v>
      </c>
      <c r="I11" s="9"/>
      <c r="J11" s="9" t="str">
        <f>IFERROR(H11-I11,"-")</f>
        <v>-</v>
      </c>
      <c r="K11" s="19" t="str">
        <f>IFERROR(VLOOKUP(B11,基础信息表!$B$3:$K$14,9,0),"-")</f>
        <v>-</v>
      </c>
      <c r="L11" s="29" t="str">
        <f>IFERROR(VLOOKUP(B11,基础信息表!$B$3:$K$14,10,0),"-")</f>
        <v>-</v>
      </c>
    </row>
    <row r="12" customFormat="1" ht="23" customHeight="1" spans="1:12">
      <c r="A12" s="10">
        <v>10</v>
      </c>
      <c r="B12" s="20"/>
      <c r="C12" s="20" t="str">
        <f>IFERROR(VLOOKUP(B12,基础信息表!$B$3:$K$14,2,0),"-")</f>
        <v>-</v>
      </c>
      <c r="D12" s="20" t="str">
        <f>IFERROR(VLOOKUP(B12,基础信息表!$B$3:$K$14,4,0),"-")</f>
        <v>-</v>
      </c>
      <c r="E12" s="27"/>
      <c r="F12" s="20"/>
      <c r="G12" s="11" t="str">
        <f>IFERROR(VLOOKUP(B12,基础信息表!$B$3:$K$14,5,0),"-")</f>
        <v>-</v>
      </c>
      <c r="H12" s="11" t="str">
        <f>IFERROR(F12*G12,"-")</f>
        <v>-</v>
      </c>
      <c r="I12" s="11"/>
      <c r="J12" s="11" t="str">
        <f>IFERROR(H12-I12,"-")</f>
        <v>-</v>
      </c>
      <c r="K12" s="20" t="str">
        <f>IFERROR(VLOOKUP(B12,基础信息表!$B$3:$K$14,9,0),"-")</f>
        <v>-</v>
      </c>
      <c r="L12" s="20" t="str">
        <f>IFERROR(VLOOKUP(B12,基础信息表!$B$3:$K$14,10,0),"-")</f>
        <v>-</v>
      </c>
    </row>
    <row r="13" customFormat="1" ht="23" customHeight="1" spans="1:12">
      <c r="A13" s="8">
        <v>11</v>
      </c>
      <c r="B13" s="19"/>
      <c r="C13" s="19" t="str">
        <f>IFERROR(VLOOKUP(B13,基础信息表!$B$3:$K$14,2,0),"-")</f>
        <v>-</v>
      </c>
      <c r="D13" s="19" t="str">
        <f>IFERROR(VLOOKUP(B13,基础信息表!$B$3:$K$14,4,0),"-")</f>
        <v>-</v>
      </c>
      <c r="E13" s="26"/>
      <c r="F13" s="19"/>
      <c r="G13" s="9" t="str">
        <f>IFERROR(VLOOKUP(B13,基础信息表!$B$3:$K$14,5,0),"-")</f>
        <v>-</v>
      </c>
      <c r="H13" s="9" t="str">
        <f t="shared" ref="H13:H19" si="2">IFERROR(F13*G13,"-")</f>
        <v>-</v>
      </c>
      <c r="I13" s="9"/>
      <c r="J13" s="9" t="str">
        <f t="shared" ref="J13:J18" si="3">IFERROR(H13-I13,"-")</f>
        <v>-</v>
      </c>
      <c r="K13" s="19" t="str">
        <f>IFERROR(VLOOKUP(B13,基础信息表!$B$3:$K$14,9,0),"-")</f>
        <v>-</v>
      </c>
      <c r="L13" s="29" t="str">
        <f>IFERROR(VLOOKUP(B13,基础信息表!$B$3:$K$14,10,0),"-")</f>
        <v>-</v>
      </c>
    </row>
    <row r="14" customFormat="1" ht="23" customHeight="1" spans="1:12">
      <c r="A14" s="10">
        <v>12</v>
      </c>
      <c r="B14" s="20"/>
      <c r="C14" s="20" t="str">
        <f>IFERROR(VLOOKUP(B14,基础信息表!$B$3:$K$14,2,0),"-")</f>
        <v>-</v>
      </c>
      <c r="D14" s="20" t="str">
        <f>IFERROR(VLOOKUP(B14,基础信息表!$B$3:$K$14,4,0),"-")</f>
        <v>-</v>
      </c>
      <c r="E14" s="27"/>
      <c r="F14" s="20"/>
      <c r="G14" s="11" t="str">
        <f>IFERROR(VLOOKUP(B14,基础信息表!$B$3:$K$14,5,0),"-")</f>
        <v>-</v>
      </c>
      <c r="H14" s="11" t="str">
        <f t="shared" si="2"/>
        <v>-</v>
      </c>
      <c r="I14" s="11"/>
      <c r="J14" s="11" t="str">
        <f t="shared" si="3"/>
        <v>-</v>
      </c>
      <c r="K14" s="20" t="str">
        <f>IFERROR(VLOOKUP(B14,基础信息表!$B$3:$K$14,9,0),"-")</f>
        <v>-</v>
      </c>
      <c r="L14" s="20" t="str">
        <f>IFERROR(VLOOKUP(B14,基础信息表!$B$3:$K$14,10,0),"-")</f>
        <v>-</v>
      </c>
    </row>
    <row r="15" customFormat="1" ht="18" customHeight="1" spans="1:12">
      <c r="A15" s="8"/>
      <c r="B15" s="19"/>
      <c r="C15" s="19" t="str">
        <f>IFERROR(VLOOKUP(B15,基础信息表!$B$3:$K$14,2,0),"-")</f>
        <v>-</v>
      </c>
      <c r="D15" s="19" t="str">
        <f>IFERROR(VLOOKUP(B15,基础信息表!$B$3:$K$14,4,0),"-")</f>
        <v>-</v>
      </c>
      <c r="E15" s="26"/>
      <c r="F15" s="19"/>
      <c r="G15" s="9" t="str">
        <f>IFERROR(VLOOKUP(B15,基础信息表!$B$3:$K$14,5,0),"-")</f>
        <v>-</v>
      </c>
      <c r="H15" s="9" t="str">
        <f t="shared" si="2"/>
        <v>-</v>
      </c>
      <c r="I15" s="9"/>
      <c r="J15" s="9" t="str">
        <f t="shared" si="3"/>
        <v>-</v>
      </c>
      <c r="K15" s="19" t="str">
        <f>IFERROR(VLOOKUP(B15,基础信息表!$B$3:$K$14,9,0),"-")</f>
        <v>-</v>
      </c>
      <c r="L15" s="29" t="str">
        <f>IFERROR(VLOOKUP(B15,基础信息表!$B$3:$K$14,10,0),"-")</f>
        <v>-</v>
      </c>
    </row>
    <row r="16" customFormat="1" ht="18" customHeight="1" spans="1:12">
      <c r="A16" s="10"/>
      <c r="B16" s="20"/>
      <c r="C16" s="20" t="str">
        <f>IFERROR(VLOOKUP(B16,基础信息表!$B$3:$K$14,2,0),"-")</f>
        <v>-</v>
      </c>
      <c r="D16" s="20" t="str">
        <f>IFERROR(VLOOKUP(B16,基础信息表!$B$3:$K$14,4,0),"-")</f>
        <v>-</v>
      </c>
      <c r="E16" s="27"/>
      <c r="F16" s="20"/>
      <c r="G16" s="11" t="str">
        <f>IFERROR(VLOOKUP(B16,基础信息表!$B$3:$K$14,5,0),"-")</f>
        <v>-</v>
      </c>
      <c r="H16" s="11" t="str">
        <f t="shared" si="2"/>
        <v>-</v>
      </c>
      <c r="I16" s="11"/>
      <c r="J16" s="11" t="str">
        <f t="shared" si="3"/>
        <v>-</v>
      </c>
      <c r="K16" s="20" t="str">
        <f>IFERROR(VLOOKUP(B16,基础信息表!$B$3:$K$14,9,0),"-")</f>
        <v>-</v>
      </c>
      <c r="L16" s="20" t="str">
        <f>IFERROR(VLOOKUP(B16,基础信息表!$B$3:$K$14,10,0),"-")</f>
        <v>-</v>
      </c>
    </row>
    <row r="17" customFormat="1" ht="18" customHeight="1" spans="1:12">
      <c r="A17" s="8"/>
      <c r="B17" s="19"/>
      <c r="C17" s="19" t="str">
        <f>IFERROR(VLOOKUP(B17,基础信息表!$B$3:$K$14,2,0),"-")</f>
        <v>-</v>
      </c>
      <c r="D17" s="19" t="str">
        <f>IFERROR(VLOOKUP(B17,基础信息表!$B$3:$K$14,4,0),"-")</f>
        <v>-</v>
      </c>
      <c r="E17" s="26"/>
      <c r="F17" s="19"/>
      <c r="G17" s="9" t="str">
        <f>IFERROR(VLOOKUP(B17,基础信息表!$B$3:$K$14,5,0),"-")</f>
        <v>-</v>
      </c>
      <c r="H17" s="9" t="str">
        <f t="shared" si="2"/>
        <v>-</v>
      </c>
      <c r="I17" s="9"/>
      <c r="J17" s="9" t="str">
        <f t="shared" si="3"/>
        <v>-</v>
      </c>
      <c r="K17" s="19" t="str">
        <f>IFERROR(VLOOKUP(B17,基础信息表!$B$3:$K$14,9,0),"-")</f>
        <v>-</v>
      </c>
      <c r="L17" s="29" t="str">
        <f>IFERROR(VLOOKUP(B17,基础信息表!$B$3:$K$14,10,0),"-")</f>
        <v>-</v>
      </c>
    </row>
    <row r="18" customFormat="1" ht="18" customHeight="1" spans="1:12">
      <c r="A18" s="10"/>
      <c r="B18" s="20"/>
      <c r="C18" s="20" t="str">
        <f>IFERROR(VLOOKUP(B18,基础信息表!$B$3:$K$14,2,0),"-")</f>
        <v>-</v>
      </c>
      <c r="D18" s="20" t="str">
        <f>IFERROR(VLOOKUP(B18,基础信息表!$B$3:$K$14,4,0),"-")</f>
        <v>-</v>
      </c>
      <c r="E18" s="27"/>
      <c r="F18" s="20"/>
      <c r="G18" s="11" t="str">
        <f>IFERROR(VLOOKUP(B18,基础信息表!$B$3:$K$14,5,0),"-")</f>
        <v>-</v>
      </c>
      <c r="H18" s="11" t="str">
        <f t="shared" si="2"/>
        <v>-</v>
      </c>
      <c r="I18" s="11"/>
      <c r="J18" s="11" t="str">
        <f t="shared" si="3"/>
        <v>-</v>
      </c>
      <c r="K18" s="20" t="str">
        <f>IFERROR(VLOOKUP(B18,基础信息表!$B$3:$K$14,9,0),"-")</f>
        <v>-</v>
      </c>
      <c r="L18" s="20" t="str">
        <f>IFERROR(VLOOKUP(B18,基础信息表!$B$3:$K$14,10,0),"-")</f>
        <v>-</v>
      </c>
    </row>
    <row r="19" customFormat="1" ht="18" customHeight="1" spans="1:12">
      <c r="A19" s="28"/>
      <c r="B19" s="28"/>
      <c r="C19" s="19" t="str">
        <f>IFERROR(VLOOKUP(B19,基础信息表!$B$3:$K$14,2,0),"-")</f>
        <v>-</v>
      </c>
      <c r="D19" s="19" t="str">
        <f>IFERROR(VLOOKUP(B19,基础信息表!$B$3:$K$14,4,0),"-")</f>
        <v>-</v>
      </c>
      <c r="E19" s="28"/>
      <c r="F19" s="28"/>
      <c r="G19" s="9" t="str">
        <f>IFERROR(VLOOKUP(B19,基础信息表!$B$3:$K$14,5,0),"-")</f>
        <v>-</v>
      </c>
      <c r="H19" s="9" t="str">
        <f t="shared" si="2"/>
        <v>-</v>
      </c>
      <c r="I19" s="28"/>
      <c r="J19" s="28"/>
      <c r="K19" s="19" t="str">
        <f>IFERROR(VLOOKUP(B19,基础信息表!$B$3:$K$14,9,0),"-")</f>
        <v>-</v>
      </c>
      <c r="L19" s="29" t="str">
        <f>IFERROR(VLOOKUP(B19,基础信息表!$B$3:$K$14,10,0),"-")</f>
        <v>-</v>
      </c>
    </row>
    <row r="20" customFormat="1" ht="18" customHeight="1"/>
  </sheetData>
  <mergeCells count="1">
    <mergeCell ref="A1:L1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workbookViewId="0">
      <selection activeCell="K5" sqref="K5"/>
    </sheetView>
  </sheetViews>
  <sheetFormatPr defaultColWidth="9" defaultRowHeight="13.5"/>
  <cols>
    <col min="1" max="1" width="7.75" customWidth="1"/>
    <col min="2" max="2" width="12.75" customWidth="1"/>
    <col min="3" max="3" width="13.5" customWidth="1"/>
    <col min="4" max="4" width="12.375" customWidth="1"/>
    <col min="5" max="5" width="11.375" customWidth="1"/>
    <col min="6" max="6" width="12.125" customWidth="1"/>
    <col min="7" max="9" width="12.875" customWidth="1"/>
    <col min="10" max="10" width="11.375" customWidth="1"/>
    <col min="11" max="11" width="12.375" customWidth="1"/>
    <col min="12" max="13" width="12.125" customWidth="1"/>
  </cols>
  <sheetData>
    <row r="1" customFormat="1" ht="34" customHeight="1" spans="1:12">
      <c r="A1" s="6" t="s">
        <v>61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Format="1" ht="24" customHeight="1" spans="1:12">
      <c r="A2" s="7" t="s">
        <v>1</v>
      </c>
      <c r="B2" s="7" t="s">
        <v>2</v>
      </c>
      <c r="C2" s="7" t="s">
        <v>3</v>
      </c>
      <c r="D2" s="14" t="s">
        <v>4</v>
      </c>
      <c r="E2" s="15" t="s">
        <v>62</v>
      </c>
      <c r="F2" s="15"/>
      <c r="G2" s="15"/>
      <c r="H2" s="16" t="s">
        <v>63</v>
      </c>
      <c r="I2" s="15"/>
      <c r="J2" s="15"/>
      <c r="K2" s="22" t="s">
        <v>64</v>
      </c>
      <c r="L2" s="14" t="s">
        <v>65</v>
      </c>
    </row>
    <row r="3" customFormat="1" ht="24" customHeight="1" spans="1:12">
      <c r="A3" s="7"/>
      <c r="B3" s="7"/>
      <c r="C3" s="7"/>
      <c r="D3" s="14"/>
      <c r="E3" s="17" t="s">
        <v>40</v>
      </c>
      <c r="F3" s="17" t="s">
        <v>6</v>
      </c>
      <c r="G3" s="17" t="s">
        <v>48</v>
      </c>
      <c r="H3" s="18" t="s">
        <v>55</v>
      </c>
      <c r="I3" s="17" t="s">
        <v>7</v>
      </c>
      <c r="J3" s="17" t="s">
        <v>59</v>
      </c>
      <c r="K3" s="23"/>
      <c r="L3" s="14"/>
    </row>
    <row r="4" customFormat="1" ht="30" customHeight="1" spans="1:12">
      <c r="A4" s="8">
        <v>1</v>
      </c>
      <c r="B4" s="19" t="s">
        <v>11</v>
      </c>
      <c r="C4" s="19" t="str">
        <f>VLOOKUP(B4,基础信息表!$B$3:$K$14,2,0)</f>
        <v>苹果手机</v>
      </c>
      <c r="D4" s="19">
        <f>VLOOKUP(B4,基础信息表!$B$3:$K$14,3,0)</f>
        <v>7</v>
      </c>
      <c r="E4" s="19">
        <f>VLOOKUP(B4,入库明细表!$B$3:$L$18,5,0)</f>
        <v>7</v>
      </c>
      <c r="F4" s="9">
        <f>VLOOKUP(B4,基础信息表!$B$3:$K$14,5,0)</f>
        <v>6000</v>
      </c>
      <c r="G4" s="9">
        <f t="shared" ref="G4:G11" si="0">E4*F4</f>
        <v>42000</v>
      </c>
      <c r="H4" s="19">
        <f>VLOOKUP(B4,出库明细表!$B$3:$L$19,5,0)</f>
        <v>5</v>
      </c>
      <c r="I4" s="9">
        <f>VLOOKUP(B4,出库明细表!$B$3:$L$19,6,0)</f>
        <v>7000</v>
      </c>
      <c r="J4" s="9">
        <f>H4*I4</f>
        <v>35000</v>
      </c>
      <c r="K4" s="24">
        <f>D4+E4-H4</f>
        <v>9</v>
      </c>
      <c r="L4" s="9">
        <f>(I4-F4)*H4</f>
        <v>5000</v>
      </c>
    </row>
    <row r="5" customFormat="1" ht="30" customHeight="1" spans="1:12">
      <c r="A5" s="10">
        <v>2</v>
      </c>
      <c r="B5" s="20" t="s">
        <v>16</v>
      </c>
      <c r="C5" s="21" t="str">
        <f>VLOOKUP(B5,基础信息表!$B$3:$K$14,2,0)</f>
        <v>苹果手机</v>
      </c>
      <c r="D5" s="20">
        <f>VLOOKUP(B5,基础信息表!$B$3:$K$14,3,0)</f>
        <v>9</v>
      </c>
      <c r="E5" s="21">
        <f>VLOOKUP(B5,入库明细表!$B$3:$L$18,5,0)</f>
        <v>9</v>
      </c>
      <c r="F5" s="11">
        <f>VLOOKUP(B5,基础信息表!$B$3:$K$14,5,0)</f>
        <v>4000</v>
      </c>
      <c r="G5" s="11">
        <f t="shared" si="0"/>
        <v>36000</v>
      </c>
      <c r="H5" s="20">
        <f>VLOOKUP(B5,出库明细表!$B$3:$L$19,5,0)</f>
        <v>7</v>
      </c>
      <c r="I5" s="11">
        <v>5000</v>
      </c>
      <c r="J5" s="11">
        <f t="shared" ref="J5:J15" si="1">H5*I5</f>
        <v>35000</v>
      </c>
      <c r="K5" s="10">
        <f>D5+E5-H5</f>
        <v>11</v>
      </c>
      <c r="L5" s="11">
        <f t="shared" ref="L5:L15" si="2">(I5-F5)*H5</f>
        <v>7000</v>
      </c>
    </row>
    <row r="6" customFormat="1" ht="30" customHeight="1" spans="1:12">
      <c r="A6" s="8">
        <v>3</v>
      </c>
      <c r="B6" s="19" t="s">
        <v>18</v>
      </c>
      <c r="C6" s="19" t="str">
        <f>VLOOKUP(B6,基础信息表!$B$3:$K$14,2,0)</f>
        <v>苹果手机</v>
      </c>
      <c r="D6" s="19">
        <f>VLOOKUP(B6,基础信息表!$B$3:$K$14,3,0)</f>
        <v>10</v>
      </c>
      <c r="E6" s="19">
        <f>VLOOKUP(B6,入库明细表!$B$3:$L$18,5,0)</f>
        <v>10</v>
      </c>
      <c r="F6" s="9">
        <f>VLOOKUP(B6,基础信息表!$B$3:$K$14,5,0)</f>
        <v>3500</v>
      </c>
      <c r="G6" s="9">
        <f t="shared" si="0"/>
        <v>35000</v>
      </c>
      <c r="H6" s="19">
        <f>VLOOKUP(B6,出库明细表!$B$3:$L$19,5,0)</f>
        <v>7</v>
      </c>
      <c r="I6" s="9">
        <v>4000</v>
      </c>
      <c r="J6" s="9">
        <f t="shared" si="1"/>
        <v>28000</v>
      </c>
      <c r="K6" s="24">
        <f t="shared" ref="K5:K15" si="3">D6+E6-H6</f>
        <v>13</v>
      </c>
      <c r="L6" s="9">
        <f t="shared" si="2"/>
        <v>3500</v>
      </c>
    </row>
    <row r="7" customFormat="1" ht="30" customHeight="1" spans="1:12">
      <c r="A7" s="10">
        <v>4</v>
      </c>
      <c r="B7" s="20" t="s">
        <v>20</v>
      </c>
      <c r="C7" s="21" t="str">
        <f>VLOOKUP(B7,基础信息表!$B$3:$K$14,2,0)</f>
        <v>魅族</v>
      </c>
      <c r="D7" s="20">
        <f>VLOOKUP(B7,基础信息表!$B$3:$K$14,3,0)</f>
        <v>8</v>
      </c>
      <c r="E7" s="21">
        <f>VLOOKUP(B7,入库明细表!$B$3:$L$18,5,0)</f>
        <v>8</v>
      </c>
      <c r="F7" s="11">
        <f>VLOOKUP(B7,基础信息表!$B$3:$K$14,5,0)</f>
        <v>2000</v>
      </c>
      <c r="G7" s="11">
        <f t="shared" si="0"/>
        <v>16000</v>
      </c>
      <c r="H7" s="20">
        <f>VLOOKUP(B7,出库明细表!$B$3:$L$19,5,0)</f>
        <v>4</v>
      </c>
      <c r="I7" s="11">
        <v>3000</v>
      </c>
      <c r="J7" s="11">
        <f t="shared" si="1"/>
        <v>12000</v>
      </c>
      <c r="K7" s="10">
        <f t="shared" si="3"/>
        <v>12</v>
      </c>
      <c r="L7" s="11">
        <f t="shared" si="2"/>
        <v>4000</v>
      </c>
    </row>
    <row r="8" customFormat="1" ht="30" customHeight="1" spans="1:12">
      <c r="A8" s="8">
        <v>5</v>
      </c>
      <c r="B8" s="19" t="s">
        <v>24</v>
      </c>
      <c r="C8" s="19" t="str">
        <f>VLOOKUP(B8,基础信息表!$B$3:$K$14,2,0)</f>
        <v>魅族</v>
      </c>
      <c r="D8" s="19">
        <f>VLOOKUP(B8,基础信息表!$B$3:$K$14,3,0)</f>
        <v>9</v>
      </c>
      <c r="E8" s="19">
        <f>VLOOKUP(B8,入库明细表!$B$3:$L$18,5,0)</f>
        <v>9</v>
      </c>
      <c r="F8" s="9">
        <f>VLOOKUP(B8,基础信息表!$B$3:$K$14,5,0)</f>
        <v>1500</v>
      </c>
      <c r="G8" s="9">
        <f t="shared" si="0"/>
        <v>13500</v>
      </c>
      <c r="H8" s="19">
        <f>VLOOKUP(B8,出库明细表!$B$3:$L$19,5,0)</f>
        <v>5</v>
      </c>
      <c r="I8" s="9">
        <v>2000</v>
      </c>
      <c r="J8" s="9">
        <f t="shared" si="1"/>
        <v>10000</v>
      </c>
      <c r="K8" s="24">
        <f t="shared" si="3"/>
        <v>13</v>
      </c>
      <c r="L8" s="9">
        <f t="shared" si="2"/>
        <v>2500</v>
      </c>
    </row>
    <row r="9" customFormat="1" ht="24" customHeight="1" spans="1:12">
      <c r="A9" s="10">
        <v>6</v>
      </c>
      <c r="B9" s="20" t="s">
        <v>26</v>
      </c>
      <c r="C9" s="21" t="str">
        <f>VLOOKUP(B9,基础信息表!$B$3:$K$14,2,0)</f>
        <v>华为</v>
      </c>
      <c r="D9" s="20">
        <f>VLOOKUP(B9,基础信息表!$B$3:$K$14,3,0)</f>
        <v>10</v>
      </c>
      <c r="E9" s="21">
        <f>VLOOKUP(B9,入库明细表!$B$3:$L$18,5,0)</f>
        <v>10</v>
      </c>
      <c r="F9" s="11">
        <f>VLOOKUP(B9,基础信息表!$B$3:$K$14,5,0)</f>
        <v>3000</v>
      </c>
      <c r="G9" s="11">
        <f t="shared" si="0"/>
        <v>30000</v>
      </c>
      <c r="H9" s="20">
        <f>VLOOKUP(B9,出库明细表!$B$3:$L$19,5,0)</f>
        <v>5</v>
      </c>
      <c r="I9" s="11">
        <v>4000</v>
      </c>
      <c r="J9" s="11">
        <f t="shared" si="1"/>
        <v>20000</v>
      </c>
      <c r="K9" s="10">
        <f t="shared" si="3"/>
        <v>15</v>
      </c>
      <c r="L9" s="11">
        <f t="shared" si="2"/>
        <v>5000</v>
      </c>
    </row>
    <row r="10" customFormat="1" ht="24" customHeight="1" spans="1:12">
      <c r="A10" s="8">
        <v>7</v>
      </c>
      <c r="B10" s="19" t="s">
        <v>30</v>
      </c>
      <c r="C10" s="19" t="str">
        <f>VLOOKUP(B10,基础信息表!$B$3:$K$14,2,0)</f>
        <v>华为</v>
      </c>
      <c r="D10" s="19">
        <f>VLOOKUP(B10,基础信息表!$B$3:$K$14,3,0)</f>
        <v>12</v>
      </c>
      <c r="E10" s="19">
        <f>VLOOKUP(B10,入库明细表!$B$3:$L$18,5,0)</f>
        <v>12</v>
      </c>
      <c r="F10" s="9">
        <f>VLOOKUP(B10,基础信息表!$B$3:$K$14,5,0)</f>
        <v>3500</v>
      </c>
      <c r="G10" s="9">
        <f t="shared" si="0"/>
        <v>42000</v>
      </c>
      <c r="H10" s="19">
        <f>VLOOKUP(B10,出库明细表!$B$3:$L$19,5,0)</f>
        <v>6</v>
      </c>
      <c r="I10" s="9">
        <v>4000</v>
      </c>
      <c r="J10" s="9">
        <f t="shared" si="1"/>
        <v>24000</v>
      </c>
      <c r="K10" s="24">
        <f t="shared" si="3"/>
        <v>18</v>
      </c>
      <c r="L10" s="9">
        <f t="shared" si="2"/>
        <v>3000</v>
      </c>
    </row>
    <row r="11" customFormat="1" ht="27" customHeight="1" spans="1:12">
      <c r="A11" s="10">
        <v>8</v>
      </c>
      <c r="B11" s="20" t="s">
        <v>32</v>
      </c>
      <c r="C11" s="21" t="str">
        <f>VLOOKUP(B11,基础信息表!$B$3:$K$14,2,0)</f>
        <v>华为</v>
      </c>
      <c r="D11" s="20">
        <f>VLOOKUP(B11,基础信息表!$B$3:$K$14,3,0)</f>
        <v>15</v>
      </c>
      <c r="E11" s="21">
        <f>VLOOKUP(B11,入库明细表!$B$3:$L$18,5,0)</f>
        <v>15</v>
      </c>
      <c r="F11" s="11">
        <f>VLOOKUP(B11,基础信息表!$B$3:$K$14,5,0)</f>
        <v>2800</v>
      </c>
      <c r="G11" s="11">
        <f t="shared" si="0"/>
        <v>42000</v>
      </c>
      <c r="H11" s="20">
        <f>VLOOKUP(B11,出库明细表!$B$3:$L$19,5,0)</f>
        <v>10</v>
      </c>
      <c r="I11" s="11">
        <v>3500</v>
      </c>
      <c r="J11" s="11">
        <f t="shared" si="1"/>
        <v>35000</v>
      </c>
      <c r="K11" s="10">
        <f t="shared" si="3"/>
        <v>20</v>
      </c>
      <c r="L11" s="11">
        <f t="shared" si="2"/>
        <v>7000</v>
      </c>
    </row>
    <row r="12" customFormat="1" ht="24" customHeight="1" spans="1:15">
      <c r="A12" s="8">
        <v>9</v>
      </c>
      <c r="B12" s="19"/>
      <c r="C12" s="19" t="str">
        <f>IFERROR(VLOOKUP(B12,基础信息表!$B$3:$K$14,2,0),"-")</f>
        <v>-</v>
      </c>
      <c r="D12" s="19" t="str">
        <f>IFERROR(VLOOKUP(B12,基础信息表!$B$3:$K$14,3,0),"-")</f>
        <v>-</v>
      </c>
      <c r="E12" s="19" t="str">
        <f>IFERROR(VLOOKUP(B12,入库明细表!$B$3:$L$18,5,0),"-")</f>
        <v>-</v>
      </c>
      <c r="F12" s="9" t="str">
        <f>IFERROR(VLOOKUP(B12,基础信息表!$B$3:$K$14,5,0),"-")</f>
        <v>-</v>
      </c>
      <c r="G12" s="9"/>
      <c r="H12" s="19" t="str">
        <f>IFERROR(VLOOKUP(B12,出库明细表!$B$3:$L$19,5,0),"-")</f>
        <v>-</v>
      </c>
      <c r="I12" s="9"/>
      <c r="J12" s="9" t="str">
        <f>IFERROR(H12*I12,"-")</f>
        <v>-</v>
      </c>
      <c r="K12" s="25" t="str">
        <f>IFERROR(D12+E12-H12,"-")</f>
        <v>-</v>
      </c>
      <c r="L12" s="9" t="str">
        <f>IFERROR((I12-F12)*H12,"-")</f>
        <v>-</v>
      </c>
      <c r="O12" t="s">
        <v>66</v>
      </c>
    </row>
    <row r="13" customFormat="1" ht="24" customHeight="1" spans="1:12">
      <c r="A13" s="10">
        <v>10</v>
      </c>
      <c r="B13" s="20"/>
      <c r="C13" s="21" t="str">
        <f>IFERROR(VLOOKUP(B13,基础信息表!$B$3:$K$14,2,0),"-")</f>
        <v>-</v>
      </c>
      <c r="D13" s="20" t="str">
        <f>IFERROR(VLOOKUP(B13,基础信息表!$B$3:$K$14,3,0),"-")</f>
        <v>-</v>
      </c>
      <c r="E13" s="21" t="str">
        <f>IFERROR(VLOOKUP(B13,入库明细表!$B$3:$L$18,5,0),"-")</f>
        <v>-</v>
      </c>
      <c r="F13" s="11" t="str">
        <f>IFERROR(VLOOKUP(B13,基础信息表!$B$3:$K$14,5,0),"-")</f>
        <v>-</v>
      </c>
      <c r="G13" s="11"/>
      <c r="H13" s="20" t="str">
        <f>IFERROR(VLOOKUP(B13,出库明细表!$B$3:$L$19,5,0),"-")</f>
        <v>-</v>
      </c>
      <c r="I13" s="11"/>
      <c r="J13" s="11" t="str">
        <f>IFERROR(H13*I13,"-")</f>
        <v>-</v>
      </c>
      <c r="K13" s="21" t="str">
        <f>IFERROR(D13+E13-H13,"-")</f>
        <v>-</v>
      </c>
      <c r="L13" s="11" t="str">
        <f>IFERROR((I13-F13)*H13,"-")</f>
        <v>-</v>
      </c>
    </row>
    <row r="14" customFormat="1" ht="24" customHeight="1" spans="1:12">
      <c r="A14" s="8">
        <v>11</v>
      </c>
      <c r="B14" s="19"/>
      <c r="C14" s="19" t="str">
        <f>IFERROR(VLOOKUP(B14,基础信息表!$B$3:$K$14,2,0),"-")</f>
        <v>-</v>
      </c>
      <c r="D14" s="19" t="str">
        <f>IFERROR(VLOOKUP(B14,基础信息表!$B$3:$K$14,3,0),"-")</f>
        <v>-</v>
      </c>
      <c r="E14" s="19" t="str">
        <f>IFERROR(VLOOKUP(B14,入库明细表!$B$3:$L$18,5,0),"-")</f>
        <v>-</v>
      </c>
      <c r="F14" s="9" t="str">
        <f>IFERROR(VLOOKUP(B14,基础信息表!$B$3:$K$14,5,0),"-")</f>
        <v>-</v>
      </c>
      <c r="G14" s="9"/>
      <c r="H14" s="19" t="str">
        <f>IFERROR(VLOOKUP(B14,出库明细表!$B$3:$L$19,5,0),"-")</f>
        <v>-</v>
      </c>
      <c r="I14" s="9"/>
      <c r="J14" s="9" t="str">
        <f>IFERROR(H14*I14,"-")</f>
        <v>-</v>
      </c>
      <c r="K14" s="25" t="str">
        <f>IFERROR(D14+E14-H14,"-")</f>
        <v>-</v>
      </c>
      <c r="L14" s="9" t="str">
        <f>IFERROR((I14-F14)*H14,"-")</f>
        <v>-</v>
      </c>
    </row>
    <row r="15" customFormat="1" ht="24" customHeight="1" spans="1:12">
      <c r="A15" s="10">
        <v>12</v>
      </c>
      <c r="B15" s="20"/>
      <c r="C15" s="21" t="str">
        <f>IFERROR(VLOOKUP(B15,基础信息表!$B$3:$K$14,2,0),"-")</f>
        <v>-</v>
      </c>
      <c r="D15" s="20" t="str">
        <f>IFERROR(VLOOKUP(B15,基础信息表!$B$3:$K$14,3,0),"-")</f>
        <v>-</v>
      </c>
      <c r="E15" s="21" t="str">
        <f>IFERROR(VLOOKUP(B15,入库明细表!$B$3:$L$18,5,0),"-")</f>
        <v>-</v>
      </c>
      <c r="F15" s="11" t="str">
        <f>IFERROR(VLOOKUP(B15,基础信息表!$B$3:$K$14,5,0),"-")</f>
        <v>-</v>
      </c>
      <c r="G15" s="11"/>
      <c r="H15" s="20" t="str">
        <f>IFERROR(VLOOKUP(B15,出库明细表!$B$3:$L$19,5,0),"-")</f>
        <v>-</v>
      </c>
      <c r="I15" s="11"/>
      <c r="J15" s="11" t="str">
        <f>IFERROR(H15*I15,"-")</f>
        <v>-</v>
      </c>
      <c r="K15" s="21" t="str">
        <f>IFERROR(D15+E15-H15,"-")</f>
        <v>-</v>
      </c>
      <c r="L15" s="11" t="str">
        <f>IFERROR((I15-F15)*H15,"-")</f>
        <v>-</v>
      </c>
    </row>
    <row r="16" customFormat="1" ht="24" customHeight="1"/>
  </sheetData>
  <mergeCells count="9">
    <mergeCell ref="A1:L1"/>
    <mergeCell ref="E2:G2"/>
    <mergeCell ref="H2:J2"/>
    <mergeCell ref="A2:A3"/>
    <mergeCell ref="B2:B3"/>
    <mergeCell ref="C2:C3"/>
    <mergeCell ref="D2:D3"/>
    <mergeCell ref="K2:K3"/>
    <mergeCell ref="L2:L3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A3" sqref="A3"/>
    </sheetView>
  </sheetViews>
  <sheetFormatPr defaultColWidth="9" defaultRowHeight="13.5" outlineLevelCol="4"/>
  <cols>
    <col min="1" max="1" width="11.75" customWidth="1"/>
    <col min="2" max="2" width="18.25" customWidth="1"/>
    <col min="3" max="3" width="15.25" customWidth="1"/>
    <col min="4" max="4" width="14" customWidth="1"/>
    <col min="5" max="5" width="12.875" customWidth="1"/>
  </cols>
  <sheetData>
    <row r="1" customFormat="1" ht="34" customHeight="1" spans="1:4">
      <c r="A1" s="6" t="s">
        <v>67</v>
      </c>
      <c r="B1" s="6"/>
      <c r="C1" s="6"/>
      <c r="D1" s="6"/>
    </row>
    <row r="2" customFormat="1" ht="23" customHeight="1" spans="1:5">
      <c r="A2" s="7" t="s">
        <v>10</v>
      </c>
      <c r="B2" s="7" t="s">
        <v>68</v>
      </c>
      <c r="C2" s="7" t="s">
        <v>59</v>
      </c>
      <c r="D2" s="7" t="s">
        <v>60</v>
      </c>
      <c r="E2" s="7" t="s">
        <v>50</v>
      </c>
    </row>
    <row r="3" customFormat="1" ht="23" customHeight="1" spans="1:5">
      <c r="A3" s="8" t="s">
        <v>15</v>
      </c>
      <c r="B3" s="8">
        <f>IFERROR(VLOOKUP(A3,基础信息表!$J$3:$K$10,2,0),"")</f>
        <v>1236790</v>
      </c>
      <c r="C3" s="9">
        <f>SUMIF(出库明细表!K3:K19,A3,出库明细表!H3:H19)</f>
        <v>35000</v>
      </c>
      <c r="D3" s="9">
        <f ca="1">SUMIF(出库明细表!K3:K19,A3,出库明细表!I3:I18)</f>
        <v>20000</v>
      </c>
      <c r="E3" s="9">
        <f ca="1">C3-D3</f>
        <v>15000</v>
      </c>
    </row>
    <row r="4" customFormat="1" ht="23" customHeight="1" spans="1:5">
      <c r="A4" s="10"/>
      <c r="B4" s="10" t="str">
        <f>IFERROR(VLOOKUP(A4,基础信息表!$J$3:$K$10,2,0),"")</f>
        <v/>
      </c>
      <c r="C4" s="11">
        <f>SUMIF(出库明细表!K3:K19,A4,出库明细表!H3:H19)</f>
        <v>0</v>
      </c>
      <c r="D4" s="11">
        <f ca="1">SUMIF(出库明细表!K3:K19,A4,出库明细表!I3:I18)</f>
        <v>0</v>
      </c>
      <c r="E4" s="11"/>
    </row>
    <row r="5" customFormat="1" ht="23" customHeight="1" spans="1:5">
      <c r="A5" s="8"/>
      <c r="B5" s="8" t="str">
        <f>IFERROR(VLOOKUP(A5,基础信息表!$J$3:$K$10,2,0),"")</f>
        <v/>
      </c>
      <c r="C5" s="9">
        <f>SUMIF(出库明细表!K5:K21,A5,出库明细表!H5:H21)</f>
        <v>0</v>
      </c>
      <c r="D5" s="9">
        <f ca="1">SUMIF(出库明细表!K5:K21,A5,出库明细表!I5:I20)</f>
        <v>0</v>
      </c>
      <c r="E5" s="9">
        <f ca="1">C5-D5</f>
        <v>0</v>
      </c>
    </row>
    <row r="6" customFormat="1" ht="23" customHeight="1" spans="1:5">
      <c r="A6" s="10"/>
      <c r="B6" s="10" t="str">
        <f>IFERROR(VLOOKUP(A6,基础信息表!$J$3:$K$10,2,0),"")</f>
        <v/>
      </c>
      <c r="C6" s="11">
        <f>SUMIF(出库明细表!K5:K21,A6,出库明细表!H5:H21)</f>
        <v>0</v>
      </c>
      <c r="D6" s="11">
        <f ca="1">SUMIF(出库明细表!K5:K21,A6,出库明细表!I5:I20)</f>
        <v>0</v>
      </c>
      <c r="E6" s="11"/>
    </row>
    <row r="7" customFormat="1" ht="23" customHeight="1" spans="1:5">
      <c r="A7" s="8"/>
      <c r="B7" s="8" t="str">
        <f>IFERROR(VLOOKUP(A7,基础信息表!$J$3:$K$10,2,0),"")</f>
        <v/>
      </c>
      <c r="C7" s="9">
        <f>SUMIF(出库明细表!K7:K23,A7,出库明细表!H7:H23)</f>
        <v>0</v>
      </c>
      <c r="D7" s="9">
        <f ca="1">SUMIF(出库明细表!K7:K23,A7,出库明细表!I7:I22)</f>
        <v>0</v>
      </c>
      <c r="E7" s="9">
        <f ca="1">C7-D7</f>
        <v>0</v>
      </c>
    </row>
    <row r="8" customFormat="1" ht="23" customHeight="1" spans="1:5">
      <c r="A8" s="10"/>
      <c r="B8" s="10" t="str">
        <f>IFERROR(VLOOKUP(A8,基础信息表!$J$3:$K$10,2,0),"")</f>
        <v/>
      </c>
      <c r="C8" s="11">
        <f>SUMIF(出库明细表!K7:K23,A8,出库明细表!H7:H23)</f>
        <v>0</v>
      </c>
      <c r="D8" s="11">
        <f ca="1">SUMIF(出库明细表!K7:K23,A8,出库明细表!I7:I22)</f>
        <v>0</v>
      </c>
      <c r="E8" s="11"/>
    </row>
    <row r="9" customFormat="1" ht="23" customHeight="1" spans="1:5">
      <c r="A9" s="8"/>
      <c r="B9" s="8" t="str">
        <f>IFERROR(VLOOKUP(A9,基础信息表!$J$3:$K$10,2,0),"")</f>
        <v/>
      </c>
      <c r="C9" s="9">
        <f>SUMIF(出库明细表!K9:K25,A9,出库明细表!H9:H25)</f>
        <v>0</v>
      </c>
      <c r="D9" s="9">
        <f ca="1">SUMIF(出库明细表!K9:K25,A9,出库明细表!I9:I24)</f>
        <v>0</v>
      </c>
      <c r="E9" s="9">
        <f ca="1">C9-D9</f>
        <v>0</v>
      </c>
    </row>
    <row r="10" customFormat="1" ht="23" customHeight="1" spans="1:5">
      <c r="A10" s="10"/>
      <c r="B10" s="10" t="str">
        <f>IFERROR(VLOOKUP(A10,基础信息表!$J$3:$K$10,2,0),"")</f>
        <v/>
      </c>
      <c r="C10" s="11">
        <f>SUMIF(出库明细表!K9:K25,A10,出库明细表!H9:H25)</f>
        <v>0</v>
      </c>
      <c r="D10" s="11">
        <f ca="1">SUMIF(出库明细表!K9:K25,A10,出库明细表!I9:I24)</f>
        <v>0</v>
      </c>
      <c r="E10" s="11"/>
    </row>
    <row r="11" customFormat="1" ht="23" customHeight="1" spans="1:5">
      <c r="A11" s="8"/>
      <c r="B11" s="8" t="str">
        <f>IFERROR(VLOOKUP(A11,基础信息表!$J$3:$K$10,2,0),"")</f>
        <v/>
      </c>
      <c r="C11" s="9">
        <f>SUMIF(出库明细表!K11:K27,A11,出库明细表!H11:H27)</f>
        <v>0</v>
      </c>
      <c r="D11" s="9">
        <f ca="1">SUMIF(出库明细表!K11:K27,A11,出库明细表!I11:I26)</f>
        <v>0</v>
      </c>
      <c r="E11" s="9">
        <f ca="1">C11-D11</f>
        <v>0</v>
      </c>
    </row>
    <row r="12" customFormat="1" ht="23" customHeight="1" spans="1:5">
      <c r="A12" s="10"/>
      <c r="B12" s="10" t="str">
        <f>IFERROR(VLOOKUP(A12,基础信息表!$J$3:$K$10,2,0),"")</f>
        <v/>
      </c>
      <c r="C12" s="11">
        <f>SUMIF(出库明细表!K11:K27,A12,出库明细表!H11:H27)</f>
        <v>0</v>
      </c>
      <c r="D12" s="11">
        <f ca="1">SUMIF(出库明细表!K11:K27,A12,出库明细表!I11:I26)</f>
        <v>0</v>
      </c>
      <c r="E12" s="11"/>
    </row>
    <row r="13" customFormat="1" ht="23" customHeight="1" spans="1:5">
      <c r="A13" s="8"/>
      <c r="B13" s="8" t="str">
        <f>IFERROR(VLOOKUP(A13,基础信息表!$J$3:$K$10,2,0),"")</f>
        <v/>
      </c>
      <c r="C13" s="9">
        <f>SUMIF(出库明细表!K13:K29,A13,出库明细表!H13:H29)</f>
        <v>0</v>
      </c>
      <c r="D13" s="9">
        <f ca="1">SUMIF(出库明细表!K13:K29,A13,出库明细表!I13:I28)</f>
        <v>0</v>
      </c>
      <c r="E13" s="9">
        <f ca="1">C13-D13</f>
        <v>0</v>
      </c>
    </row>
    <row r="14" customFormat="1" ht="23" customHeight="1" spans="1:5">
      <c r="A14" s="10"/>
      <c r="B14" s="10" t="str">
        <f>IFERROR(VLOOKUP(A14,基础信息表!$J$3:$K$10,2,0),"")</f>
        <v/>
      </c>
      <c r="C14" s="11">
        <f>SUMIF(出库明细表!K13:K29,A14,出库明细表!H13:H29)</f>
        <v>0</v>
      </c>
      <c r="D14" s="11">
        <f ca="1">SUMIF(出库明细表!K13:K29,A14,出库明细表!I13:I28)</f>
        <v>0</v>
      </c>
      <c r="E14" s="11"/>
    </row>
    <row r="15" customFormat="1" ht="23" customHeight="1"/>
  </sheetData>
  <mergeCells count="1">
    <mergeCell ref="A1:D1"/>
  </mergeCells>
  <dataValidations count="1">
    <dataValidation type="list" allowBlank="1" showInputMessage="1" showErrorMessage="1" sqref="A3:A14">
      <formula1>基础信息表!$J$3:$J$10</formula1>
    </dataValidation>
  </dataValidation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H10" sqref="H10"/>
    </sheetView>
  </sheetViews>
  <sheetFormatPr defaultColWidth="9" defaultRowHeight="13.5" outlineLevelCol="4"/>
  <cols>
    <col min="1" max="1" width="10" customWidth="1"/>
    <col min="2" max="2" width="18.25" customWidth="1"/>
    <col min="3" max="3" width="15.25" customWidth="1"/>
    <col min="4" max="4" width="12.375" customWidth="1"/>
    <col min="5" max="5" width="11.875" customWidth="1"/>
  </cols>
  <sheetData>
    <row r="1" customFormat="1" ht="34" customHeight="1" spans="1:4">
      <c r="A1" s="6" t="s">
        <v>69</v>
      </c>
      <c r="B1" s="6"/>
      <c r="C1" s="6"/>
      <c r="D1" s="6"/>
    </row>
    <row r="2" customFormat="1" ht="23" customHeight="1" spans="1:5">
      <c r="A2" s="7" t="s">
        <v>10</v>
      </c>
      <c r="B2" s="7" t="s">
        <v>68</v>
      </c>
      <c r="C2" s="7" t="s">
        <v>59</v>
      </c>
      <c r="D2" s="7" t="s">
        <v>60</v>
      </c>
      <c r="E2" s="7" t="s">
        <v>50</v>
      </c>
    </row>
    <row r="3" customFormat="1" ht="23" customHeight="1" spans="1:5">
      <c r="A3" s="8" t="s">
        <v>14</v>
      </c>
      <c r="B3" s="8">
        <f>IFERROR(VLOOKUP(A3,基础信息表!$H$3:$K$10,2,0),"")</f>
        <v>14589023</v>
      </c>
      <c r="C3" s="9">
        <f>SUMIF(入库明细表!K3:K18,A3,入库明细表!H3:H18)</f>
        <v>113000</v>
      </c>
      <c r="D3" s="9">
        <f>SUMIF(入库明细表!K3:K18,A3,入库明细表!I3:I18)</f>
        <v>55000</v>
      </c>
      <c r="E3" s="9">
        <f t="shared" ref="E3:E14" si="0">C3-D3</f>
        <v>58000</v>
      </c>
    </row>
    <row r="4" customFormat="1" ht="23" customHeight="1" spans="1:5">
      <c r="A4" s="10"/>
      <c r="B4" s="10" t="str">
        <f>IFERROR(VLOOKUP(A4,基础信息表!$H$3:$K$10,2,0),"")</f>
        <v/>
      </c>
      <c r="C4" s="11">
        <f>SUMIF(入库明细表!K4:K19,A4,入库明细表!H4:H19)</f>
        <v>0</v>
      </c>
      <c r="D4" s="11">
        <f>SUMIF(入库明细表!K3:K18,A4,入库明细表!I3:I18)</f>
        <v>0</v>
      </c>
      <c r="E4" s="11">
        <f t="shared" si="0"/>
        <v>0</v>
      </c>
    </row>
    <row r="5" customFormat="1" ht="23" customHeight="1" spans="1:5">
      <c r="A5" s="8"/>
      <c r="B5" s="8" t="str">
        <f>IFERROR(VLOOKUP(A5,基础信息表!$J$3:$K$10,2,0),"")</f>
        <v/>
      </c>
      <c r="C5" s="9">
        <f>SUMIF(入库明细表!K5:K20,A5,入库明细表!H5:H20)</f>
        <v>0</v>
      </c>
      <c r="D5" s="9">
        <f>SUMIF(入库明细表!K5:K20,A5,入库明细表!I5:I20)</f>
        <v>0</v>
      </c>
      <c r="E5" s="12">
        <f t="shared" si="0"/>
        <v>0</v>
      </c>
    </row>
    <row r="6" customFormat="1" ht="23" customHeight="1" spans="1:5">
      <c r="A6" s="10"/>
      <c r="B6" s="10" t="str">
        <f>IFERROR(VLOOKUP(A6,基础信息表!$J$3:$K$10,2,0),"")</f>
        <v/>
      </c>
      <c r="C6" s="11">
        <f>SUMIF(入库明细表!K6:K21,A6,入库明细表!H6:H21)</f>
        <v>0</v>
      </c>
      <c r="D6" s="11">
        <f>SUMIF(入库明细表!K5:K20,A6,入库明细表!I5:I20)</f>
        <v>0</v>
      </c>
      <c r="E6" s="11">
        <f t="shared" si="0"/>
        <v>0</v>
      </c>
    </row>
    <row r="7" customFormat="1" ht="23" customHeight="1" spans="1:5">
      <c r="A7" s="8"/>
      <c r="B7" s="8" t="str">
        <f>IFERROR(VLOOKUP(A7,基础信息表!$J$3:$K$10,2,0),"")</f>
        <v/>
      </c>
      <c r="C7" s="9">
        <f>SUMIF(入库明细表!K7:K22,A7,入库明细表!H7:H22)</f>
        <v>0</v>
      </c>
      <c r="D7" s="9">
        <f>SUMIF(入库明细表!K7:K22,A7,入库明细表!I7:I22)</f>
        <v>0</v>
      </c>
      <c r="E7" s="12">
        <f t="shared" si="0"/>
        <v>0</v>
      </c>
    </row>
    <row r="8" customFormat="1" ht="23" customHeight="1" spans="1:5">
      <c r="A8" s="10"/>
      <c r="B8" s="10" t="str">
        <f>IFERROR(VLOOKUP(A8,基础信息表!$J$3:$K$10,2,0),"")</f>
        <v/>
      </c>
      <c r="C8" s="11">
        <f>SUMIF(入库明细表!K8:K23,A8,入库明细表!H8:H23)</f>
        <v>0</v>
      </c>
      <c r="D8" s="11">
        <f>SUMIF(入库明细表!K7:K22,A8,入库明细表!I7:I22)</f>
        <v>0</v>
      </c>
      <c r="E8" s="11">
        <f t="shared" si="0"/>
        <v>0</v>
      </c>
    </row>
    <row r="9" customFormat="1" ht="23" customHeight="1" spans="1:5">
      <c r="A9" s="8"/>
      <c r="B9" s="8" t="str">
        <f>IFERROR(VLOOKUP(A9,基础信息表!$J$3:$K$10,2,0),"")</f>
        <v/>
      </c>
      <c r="C9" s="9">
        <f>SUMIF(入库明细表!K9:K24,A9,入库明细表!H9:H24)</f>
        <v>0</v>
      </c>
      <c r="D9" s="9">
        <f>SUMIF(入库明细表!K9:K24,A9,入库明细表!I9:I24)</f>
        <v>0</v>
      </c>
      <c r="E9" s="12">
        <f t="shared" si="0"/>
        <v>0</v>
      </c>
    </row>
    <row r="10" customFormat="1" ht="23" customHeight="1" spans="1:5">
      <c r="A10" s="10"/>
      <c r="B10" s="10" t="str">
        <f>IFERROR(VLOOKUP(A10,基础信息表!$J$3:$K$10,2,0),"")</f>
        <v/>
      </c>
      <c r="C10" s="11">
        <f>SUMIF(入库明细表!K10:K25,A10,入库明细表!H10:H25)</f>
        <v>0</v>
      </c>
      <c r="D10" s="11">
        <f>SUMIF(入库明细表!K9:K24,A10,入库明细表!I9:I24)</f>
        <v>0</v>
      </c>
      <c r="E10" s="11">
        <f t="shared" si="0"/>
        <v>0</v>
      </c>
    </row>
    <row r="11" customFormat="1" ht="23" customHeight="1" spans="2:5">
      <c r="B11" s="8" t="str">
        <f>IFERROR(VLOOKUP(A12,基础信息表!$J$3:$K$10,2,0),"")</f>
        <v/>
      </c>
      <c r="C11" s="9">
        <f>SUMIF(入库明细表!K11:K26,A11,入库明细表!H11:H26)</f>
        <v>0</v>
      </c>
      <c r="D11" s="9">
        <f>SUMIF(入库明细表!K11:K26,A11,入库明细表!I11:I26)</f>
        <v>0</v>
      </c>
      <c r="E11" s="12">
        <f t="shared" si="0"/>
        <v>0</v>
      </c>
    </row>
    <row r="12" customFormat="1" ht="23" customHeight="1" spans="1:5">
      <c r="A12" s="10"/>
      <c r="B12" s="10" t="str">
        <f>IFERROR(VLOOKUP(#REF!,基础信息表!$J$3:$K$10,2,0),"")</f>
        <v/>
      </c>
      <c r="C12" s="11">
        <f>SUMIF(入库明细表!K12:K27,A12,入库明细表!H12:H27)</f>
        <v>0</v>
      </c>
      <c r="D12" s="11">
        <f>SUMIF(入库明细表!K11:K26,A12,入库明细表!I11:I26)</f>
        <v>0</v>
      </c>
      <c r="E12" s="11">
        <f t="shared" si="0"/>
        <v>0</v>
      </c>
    </row>
    <row r="13" customFormat="1" ht="23" customHeight="1" spans="1:5">
      <c r="A13" s="8"/>
      <c r="B13" s="8" t="str">
        <f>IFERROR(VLOOKUP(A13,基础信息表!$J$3:$K$10,2,0),"")</f>
        <v/>
      </c>
      <c r="C13" s="9">
        <f>SUMIF(入库明细表!K13:K28,A13,入库明细表!H13:H28)</f>
        <v>0</v>
      </c>
      <c r="D13" s="9">
        <f>SUMIF(入库明细表!K13:K28,A13,入库明细表!I13:I28)</f>
        <v>0</v>
      </c>
      <c r="E13" s="12">
        <f t="shared" si="0"/>
        <v>0</v>
      </c>
    </row>
    <row r="14" customFormat="1" ht="23" customHeight="1" spans="1:5">
      <c r="A14" s="10"/>
      <c r="B14" s="10" t="str">
        <f>IFERROR(VLOOKUP(A14,基础信息表!$J$3:$K$10,2,0),"")</f>
        <v/>
      </c>
      <c r="C14" s="11">
        <f>SUMIF(入库明细表!K14:K29,A14,入库明细表!H14:H29)</f>
        <v>0</v>
      </c>
      <c r="D14" s="11">
        <f>SUMIF(入库明细表!K13:K28,A14,入库明细表!I13:I28)</f>
        <v>0</v>
      </c>
      <c r="E14" s="11">
        <f t="shared" si="0"/>
        <v>0</v>
      </c>
    </row>
    <row r="15" customFormat="1" ht="23" customHeight="1" spans="3:3">
      <c r="C15" s="13"/>
    </row>
  </sheetData>
  <mergeCells count="1">
    <mergeCell ref="A1:D1"/>
  </mergeCells>
  <dataValidations count="2">
    <dataValidation type="list" allowBlank="1" showInputMessage="1" showErrorMessage="1" sqref="A3">
      <formula1>基础信息表!$H$3:$H$10</formula1>
    </dataValidation>
    <dataValidation type="list" allowBlank="1" showInputMessage="1" showErrorMessage="1" sqref="A12 A4:A10 A13:A14">
      <formula1>基础信息表!$J$3:$J$10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菜单</vt:lpstr>
      <vt:lpstr>基础信息表</vt:lpstr>
      <vt:lpstr>入库单</vt:lpstr>
      <vt:lpstr>入库明细表</vt:lpstr>
      <vt:lpstr>出库单</vt:lpstr>
      <vt:lpstr>出库明细表</vt:lpstr>
      <vt:lpstr>库存明细</vt:lpstr>
      <vt:lpstr>应收明细表</vt:lpstr>
      <vt:lpstr>应付明细表</vt:lpstr>
      <vt:lpstr>使用说明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2017-12-06T10:55:00Z</dcterms:created>
  <dcterms:modified xsi:type="dcterms:W3CDTF">2018-02-05T07:55:37Z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